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9465" windowHeight="9015" activeTab="0"/>
  </bookViews>
  <sheets>
    <sheet name="eqns" sheetId="1" r:id="rId1"/>
    <sheet name="calcs" sheetId="2" r:id="rId2"/>
    <sheet name="Sheet3" sheetId="3" r:id="rId3"/>
  </sheets>
  <definedNames>
    <definedName name="Au">'calcs'!$D$4</definedName>
    <definedName name="bareship">'eqns'!$B$20</definedName>
    <definedName name="capturemass">'calcs'!$D$30</definedName>
    <definedName name="capturepower">'calcs'!$D$25</definedName>
    <definedName name="CircularVelocity">'eqns'!$K$5</definedName>
    <definedName name="deltaV">'calcs'!$D$28</definedName>
    <definedName name="dV">'eqns'!$B$18</definedName>
    <definedName name="dV_1">'eqns'!$B$37</definedName>
    <definedName name="dV_2">'eqns'!$B$38</definedName>
    <definedName name="dV_3">'eqns'!$B$39</definedName>
    <definedName name="dV_3_fifty">'eqns'!$B$40</definedName>
    <definedName name="dV_4">'eqns'!$B$41</definedName>
    <definedName name="dV_4_fifty">'eqns'!$B$42</definedName>
    <definedName name="dV_fifty">'eqns'!$B$45</definedName>
    <definedName name="dV_perfect">'eqns'!$B$44</definedName>
    <definedName name="dV_ptheeo">'eqns'!$B$47</definedName>
    <definedName name="E_liq_gas">'eqns'!$B$53</definedName>
    <definedName name="ef">'eqns'!$B$27</definedName>
    <definedName name="efactor">'eqns'!$B$27</definedName>
    <definedName name="Eng">'eqns'!$B$12</definedName>
    <definedName name="enginepower">'calcs'!$D$35</definedName>
    <definedName name="fuelProp">'eqns'!$B$30</definedName>
    <definedName name="fuelpropellant">'eqns'!$B$21</definedName>
    <definedName name="g_min_final">'eqns'!$B$88</definedName>
    <definedName name="g_o">'eqns'!$B$56</definedName>
    <definedName name="gagelimit">'eqns'!$C$13</definedName>
    <definedName name="gee">'calcs'!$D$23</definedName>
    <definedName name="gees">'calcs'!$D$20</definedName>
    <definedName name="h_2_o_payload">'calcs'!$D$17</definedName>
    <definedName name="Isp">'eqns'!$B$10</definedName>
    <definedName name="kevlarpsi">'eqns'!$C$41</definedName>
    <definedName name="kevlarrho">'eqns'!$C$42</definedName>
    <definedName name="kgHydro">'eqns'!$C$28</definedName>
    <definedName name="kgPressure">'eqns'!$C$30</definedName>
    <definedName name="kgTank">'eqns'!$C$21</definedName>
    <definedName name="margin_dv">'eqns'!$B$7</definedName>
    <definedName name="maxGMars">'eqns'!$B$104</definedName>
    <definedName name="meltheat">'eqns'!$B$52</definedName>
    <definedName name="meltime">'eqns'!$B$149</definedName>
    <definedName name="minCapturePwr">'eqns'!$B$144</definedName>
    <definedName name="minEnginePwr">'eqns'!$B$131</definedName>
    <definedName name="minSloPwr">'eqns'!$B$130</definedName>
    <definedName name="NGeesTank">'eqns'!$C$11</definedName>
    <definedName name="nozfact">'eqns'!$B$13</definedName>
    <definedName name="payload">'calcs'!$D$5</definedName>
    <definedName name="Perihelion">'eqns'!#REF!</definedName>
    <definedName name="pi">'eqns'!$C$39</definedName>
    <definedName name="Pld">'eqns'!$B$11</definedName>
    <definedName name="PldEng">'eqns'!$B$28</definedName>
    <definedName name="pointime">'eqns'!#REF!</definedName>
    <definedName name="presumedvelocity">'calcs'!$D$22</definedName>
    <definedName name="propellant">'calcs'!$D$13</definedName>
    <definedName name="propIsp">'calcs'!$D$32</definedName>
    <definedName name="propmass">'calcs'!$D$38</definedName>
    <definedName name="propPatm">'eqns'!$C$8</definedName>
    <definedName name="PropPerTank">'eqns'!$C$22</definedName>
    <definedName name="propRho">'eqns'!$C$18</definedName>
    <definedName name="propVol">'eqns'!$C$25</definedName>
    <definedName name="propVsp">'calcs'!$D$32</definedName>
    <definedName name="provVsp">'calcs'!$D$33</definedName>
    <definedName name="pwrspeasy">'eqns'!$B$54</definedName>
    <definedName name="pwrspINL">'eqns'!$B$55</definedName>
    <definedName name="rdeimos">'eqns'!$B$186</definedName>
    <definedName name="revenue">'calcs'!$D$18</definedName>
    <definedName name="SafetFact">'eqns'!$C$10</definedName>
    <definedName name="sellingprice">'calcs'!$D$14</definedName>
    <definedName name="SemiMajorAxis">'eqns'!$K$12</definedName>
    <definedName name="slowtime">'eqns'!$B$14</definedName>
    <definedName name="solar">'eqns'!$B$185</definedName>
    <definedName name="solarDeimos">'eqns'!$B$187</definedName>
    <definedName name="specheat">'eqns'!$B$53</definedName>
    <definedName name="tankDiam">'eqns'!$C$26</definedName>
    <definedName name="tankF">'eqns'!$B$9</definedName>
    <definedName name="tankM">'eqns'!$B$31</definedName>
    <definedName name="tankRho">'eqns'!$C$9</definedName>
    <definedName name="tankThick">'eqns'!$B$251</definedName>
    <definedName name="tankullageF">'eqns'!$B$29</definedName>
    <definedName name="tFactor">'eqns'!$B$250</definedName>
    <definedName name="thickHydro">'eqns'!$C$29</definedName>
    <definedName name="thickPressure">'eqns'!$C$31</definedName>
    <definedName name="time">'calcs'!$D$31</definedName>
    <definedName name="totalVeh">'eqns'!$B$32</definedName>
    <definedName name="troy_ton">'calcs'!$D$9</definedName>
    <definedName name="ullage">'eqns'!$B$8</definedName>
    <definedName name="UpDeltaV">'eqns'!$B$57</definedName>
    <definedName name="velocity">'calcs'!$D$21</definedName>
    <definedName name="Vsp">'eqns'!$B$26</definedName>
    <definedName name="waterpsi">'eqns'!$C$33</definedName>
    <definedName name="waterrho">'eqns'!$C$35</definedName>
    <definedName name="YStress">'eqns'!$C$6</definedName>
  </definedNames>
  <calcPr fullCalcOnLoad="1"/>
</workbook>
</file>

<file path=xl/sharedStrings.xml><?xml version="1.0" encoding="utf-8"?>
<sst xmlns="http://schemas.openxmlformats.org/spreadsheetml/2006/main" count="547" uniqueCount="362">
  <si>
    <t>paul calcs 2010 06 21</t>
  </si>
  <si>
    <t>Au</t>
  </si>
  <si>
    <t>$ per troy oz</t>
  </si>
  <si>
    <t>troy oz / lbs</t>
  </si>
  <si>
    <t>troy oz / metric ton</t>
  </si>
  <si>
    <t>troy_ton</t>
  </si>
  <si>
    <t>$ per ton</t>
  </si>
  <si>
    <t>payload</t>
  </si>
  <si>
    <t>tonnes</t>
  </si>
  <si>
    <t>million dollars</t>
  </si>
  <si>
    <t>tons of propellant</t>
  </si>
  <si>
    <t>$ per pound</t>
  </si>
  <si>
    <t>$ per troy ounce</t>
  </si>
  <si>
    <t>tons payload</t>
  </si>
  <si>
    <t>h_2_o_payload</t>
  </si>
  <si>
    <t>propellant</t>
  </si>
  <si>
    <t>sellingprice</t>
  </si>
  <si>
    <t>revenue</t>
  </si>
  <si>
    <t>million per payload</t>
  </si>
  <si>
    <t>gees</t>
  </si>
  <si>
    <t>time</t>
  </si>
  <si>
    <t>velocity</t>
  </si>
  <si>
    <t>gee</t>
  </si>
  <si>
    <t>m/s/s earth acceleration</t>
  </si>
  <si>
    <t>hours</t>
  </si>
  <si>
    <t>g's deceleratio</t>
  </si>
  <si>
    <t>meters/second</t>
  </si>
  <si>
    <t>propmass</t>
  </si>
  <si>
    <t>seconds</t>
  </si>
  <si>
    <t>provVsp</t>
  </si>
  <si>
    <t>propIsp</t>
  </si>
  <si>
    <t>tonnes water</t>
  </si>
  <si>
    <t>propEnergy</t>
  </si>
  <si>
    <t>Joules at 95% efficiency</t>
  </si>
  <si>
    <t>enginepower</t>
  </si>
  <si>
    <t>presumedvelocity</t>
  </si>
  <si>
    <t xml:space="preserve">m/s  </t>
  </si>
  <si>
    <t>watts</t>
  </si>
  <si>
    <t xml:space="preserve">Huh?? </t>
  </si>
  <si>
    <t>capturepower</t>
  </si>
  <si>
    <t>megawatts</t>
  </si>
  <si>
    <t>kg</t>
  </si>
  <si>
    <t>deltaV</t>
  </si>
  <si>
    <t>m/s</t>
  </si>
  <si>
    <t>capturemass</t>
  </si>
  <si>
    <t>how much propellant is used up delivering 400 m/s to the propmass +h2o_payload 25,000 + 5000 tonne payload?</t>
  </si>
  <si>
    <t>kW solar</t>
  </si>
  <si>
    <t>kW solar at Earth</t>
  </si>
  <si>
    <t>526 square meters at Earth</t>
  </si>
  <si>
    <t>1351 square meters at mars</t>
  </si>
  <si>
    <t>36 meters on edge</t>
  </si>
  <si>
    <t>Solar Thrusting estimates</t>
  </si>
  <si>
    <t>tonnes propellant / tonne delivered</t>
  </si>
  <si>
    <t>tonnes delivered</t>
  </si>
  <si>
    <t>tonnes propellant total</t>
  </si>
  <si>
    <t>tonnes tank, with 1% ullage</t>
  </si>
  <si>
    <t>tank fraction with ullage</t>
  </si>
  <si>
    <t>tank fraction empty</t>
  </si>
  <si>
    <t>tonnes launched tank</t>
  </si>
  <si>
    <t>m/s to go up (to High Mars Orbit)</t>
  </si>
  <si>
    <t>to drop to close-approach to Mars</t>
  </si>
  <si>
    <t>m/s to get ready to go to Earth</t>
  </si>
  <si>
    <t>seconds Isp steam</t>
  </si>
  <si>
    <t>m/s Vsp</t>
  </si>
  <si>
    <t>dV/Vsp</t>
  </si>
  <si>
    <t>mass fraction into propellant</t>
  </si>
  <si>
    <t>tonnes total at start -- M0*(1+t) +P</t>
  </si>
  <si>
    <t>tonnes propellant used in first, long multi-thrust</t>
  </si>
  <si>
    <t>tonnes remaining. tank is included already</t>
  </si>
  <si>
    <t>m/s to go to Earth if point thrust</t>
  </si>
  <si>
    <t>percent increase due to slow thrust</t>
  </si>
  <si>
    <t>Raw starting point ship</t>
  </si>
  <si>
    <t>First thrusts leave Deimos for HEMO</t>
  </si>
  <si>
    <t>Thrust to go to Earth orbit</t>
  </si>
  <si>
    <t>m/s of long thrust to go to Earth</t>
  </si>
  <si>
    <t>dV / Vsp</t>
  </si>
  <si>
    <t xml:space="preserve">1 - exp ( - dV / Vsp)  </t>
  </si>
  <si>
    <t>tonnes exhausted during the long thrust</t>
  </si>
  <si>
    <t>kg exhausted</t>
  </si>
  <si>
    <t>hours slow thrust</t>
  </si>
  <si>
    <t>kg per second exhausted</t>
  </si>
  <si>
    <t>watts into exhaust</t>
  </si>
  <si>
    <t>rocket expander efficiency</t>
  </si>
  <si>
    <t>Megawatts</t>
  </si>
  <si>
    <t>Mission check</t>
  </si>
  <si>
    <t>ullage</t>
  </si>
  <si>
    <t>percent</t>
  </si>
  <si>
    <t>tankF</t>
  </si>
  <si>
    <t>percent of "fuel" left over</t>
  </si>
  <si>
    <t>dV</t>
  </si>
  <si>
    <t>mission delta_V</t>
  </si>
  <si>
    <t>Vsp</t>
  </si>
  <si>
    <t>Isp</t>
  </si>
  <si>
    <t>specific impulse</t>
  </si>
  <si>
    <t>specific velocity</t>
  </si>
  <si>
    <t>exp ( dV / Vsp )</t>
  </si>
  <si>
    <t>ef</t>
  </si>
  <si>
    <t>e factor</t>
  </si>
  <si>
    <t>Pld</t>
  </si>
  <si>
    <t>Eng</t>
  </si>
  <si>
    <t>PldEng</t>
  </si>
  <si>
    <t>payload + engine</t>
  </si>
  <si>
    <t>tankullageF</t>
  </si>
  <si>
    <t>fuelProp</t>
  </si>
  <si>
    <t>fuel propellant</t>
  </si>
  <si>
    <t>totalVeh</t>
  </si>
  <si>
    <t>tankM</t>
  </si>
  <si>
    <t>tank mass</t>
  </si>
  <si>
    <t>total vehicle</t>
  </si>
  <si>
    <t>Input</t>
  </si>
  <si>
    <t>Output</t>
  </si>
  <si>
    <t>tank</t>
  </si>
  <si>
    <t>go up from Deimos to HEMO apo</t>
  </si>
  <si>
    <t>Oberth Hohman to Earth orbit</t>
  </si>
  <si>
    <t>Oberth Hohman capture HEEO</t>
  </si>
  <si>
    <t>dV_2</t>
  </si>
  <si>
    <t>dV_3</t>
  </si>
  <si>
    <t>dV_4</t>
  </si>
  <si>
    <t>dV_1</t>
  </si>
  <si>
    <t>dV_3_fifty</t>
  </si>
  <si>
    <t>dV_4_fifty</t>
  </si>
  <si>
    <t xml:space="preserve">   with 50% more delta_V due to slow thrust</t>
  </si>
  <si>
    <t>dV_perfect</t>
  </si>
  <si>
    <t>point thrust mission delta_V</t>
  </si>
  <si>
    <t>dV_fifty</t>
  </si>
  <si>
    <t>slow thrust mission delta V</t>
  </si>
  <si>
    <t>Leg delta_V's</t>
  </si>
  <si>
    <t>first part</t>
  </si>
  <si>
    <t>at apoapsis go down to LMO</t>
  </si>
  <si>
    <t>go up from Deimos to HEMO apoapsis</t>
  </si>
  <si>
    <t>first part dV</t>
  </si>
  <si>
    <t>1 - exp ( - dV / Vsp )</t>
  </si>
  <si>
    <t>Starting Mass</t>
  </si>
  <si>
    <t>starting mass</t>
  </si>
  <si>
    <t>propellant mass</t>
  </si>
  <si>
    <t>final mass</t>
  </si>
  <si>
    <t>thrust time</t>
  </si>
  <si>
    <t>kg/sec</t>
  </si>
  <si>
    <t>factor</t>
  </si>
  <si>
    <t>nozzle efficiency factor</t>
  </si>
  <si>
    <t>second part</t>
  </si>
  <si>
    <t>mass at start of maneuver</t>
  </si>
  <si>
    <t>mass flow rate</t>
  </si>
  <si>
    <t>nozfact</t>
  </si>
  <si>
    <t>thermal nozzle power</t>
  </si>
  <si>
    <t>third part</t>
  </si>
  <si>
    <t>slowtime</t>
  </si>
  <si>
    <t>empty ship</t>
  </si>
  <si>
    <t>"point thrust" mission delta V</t>
  </si>
  <si>
    <t>exp( dV / Vsp) -1</t>
  </si>
  <si>
    <t>H2O to send the ship back</t>
  </si>
  <si>
    <t>excess:</t>
  </si>
  <si>
    <t>original excess from Deimos</t>
  </si>
  <si>
    <t>excess water for margin maneuvers</t>
  </si>
  <si>
    <t>solar</t>
  </si>
  <si>
    <t>watts/m2</t>
  </si>
  <si>
    <t>solar insolation at Earth's orbit</t>
  </si>
  <si>
    <t>Solar Option</t>
  </si>
  <si>
    <t>rdeimos</t>
  </si>
  <si>
    <t>a.u.</t>
  </si>
  <si>
    <t>deimos distance from sun, a.u.</t>
  </si>
  <si>
    <t>solarDeimos</t>
  </si>
  <si>
    <t>solar insolation at Deimos orbit</t>
  </si>
  <si>
    <t>minSloPwr</t>
  </si>
  <si>
    <t>sq meters</t>
  </si>
  <si>
    <t>area of solar collector at Deimos</t>
  </si>
  <si>
    <t>square meters solar collector per tonne delivered</t>
  </si>
  <si>
    <t>m2/t</t>
  </si>
  <si>
    <t>kg/s</t>
  </si>
  <si>
    <t xml:space="preserve">kg </t>
  </si>
  <si>
    <t>m/s/s</t>
  </si>
  <si>
    <t>J/kg</t>
  </si>
  <si>
    <t>kg water</t>
  </si>
  <si>
    <t>Joules</t>
  </si>
  <si>
    <t>energy needed</t>
  </si>
  <si>
    <t>years</t>
  </si>
  <si>
    <t>time one must do it in.</t>
  </si>
  <si>
    <t>meltime</t>
  </si>
  <si>
    <t>UpDeltaV</t>
  </si>
  <si>
    <t>WarpDeltaV</t>
  </si>
  <si>
    <t>mission delta V from LEO to Deimos</t>
  </si>
  <si>
    <t>from LEO to Deimos</t>
  </si>
  <si>
    <t>with a good tanker</t>
  </si>
  <si>
    <t>delta V to go up from LEO to 1 month HEEO</t>
  </si>
  <si>
    <t>The warp delta_V is the only one that can only be done in one step.</t>
  </si>
  <si>
    <t>what is the peak power?</t>
  </si>
  <si>
    <t>exp ( dv / Vsp) -1</t>
  </si>
  <si>
    <t>ton</t>
  </si>
  <si>
    <t>remaining water</t>
  </si>
  <si>
    <t>tone</t>
  </si>
  <si>
    <t>remaining ship and water</t>
  </si>
  <si>
    <t>remaining delta V</t>
  </si>
  <si>
    <t>warp delta V</t>
  </si>
  <si>
    <t>water for warp delta V</t>
  </si>
  <si>
    <t>TONS</t>
  </si>
  <si>
    <t>1- exp ( -dv / Vsp)</t>
  </si>
  <si>
    <t>water used</t>
  </si>
  <si>
    <t>water to be steamed</t>
  </si>
  <si>
    <t>hrs</t>
  </si>
  <si>
    <t>time to steam it</t>
  </si>
  <si>
    <t>to steam</t>
  </si>
  <si>
    <t>joules</t>
  </si>
  <si>
    <t>¿ Power to send water ship to Deimos ?</t>
  </si>
  <si>
    <t>Oberth hohman</t>
  </si>
  <si>
    <t>to HEEO in many stepps</t>
  </si>
  <si>
    <t>dV_ptheeo</t>
  </si>
  <si>
    <t>pwrspeasy</t>
  </si>
  <si>
    <t>MW/tonne</t>
  </si>
  <si>
    <t>specific power "easy" to believe/achieve</t>
  </si>
  <si>
    <t>tonne</t>
  </si>
  <si>
    <t>engine mass</t>
  </si>
  <si>
    <t>pwrspINL</t>
  </si>
  <si>
    <t>specific power claimed at INL</t>
  </si>
  <si>
    <t>water propellant + water payload</t>
  </si>
  <si>
    <t>Ice Melter</t>
  </si>
  <si>
    <t>water turned into steam</t>
  </si>
  <si>
    <t>energy into water</t>
  </si>
  <si>
    <t>MJ / kg</t>
  </si>
  <si>
    <t>energy density of U-235</t>
  </si>
  <si>
    <t>Uranium 235 burned per trip</t>
  </si>
  <si>
    <t>Uranium mass used to melt ice</t>
  </si>
  <si>
    <t>nuclear engine mass</t>
  </si>
  <si>
    <t>kilograms U-235 used</t>
  </si>
  <si>
    <t>fuelpropellant</t>
  </si>
  <si>
    <t>meltheat</t>
  </si>
  <si>
    <t xml:space="preserve">144 BTU/lbs = ice --&gt; H2O = .48 MJ / Kg </t>
  </si>
  <si>
    <t xml:space="preserve"> 2.2e6 J/Kg == H2O --&gt; steam</t>
  </si>
  <si>
    <t>Uranium mass used  for propulsion</t>
  </si>
  <si>
    <t>other constants</t>
  </si>
  <si>
    <t>power to melt ice to liquid</t>
  </si>
  <si>
    <t>E_liq_gas</t>
  </si>
  <si>
    <t>minEnginePwr</t>
  </si>
  <si>
    <t>thermal Engine Power</t>
  </si>
  <si>
    <t>thermal Engine power</t>
  </si>
  <si>
    <t>(copy of ) thermal engine  power</t>
  </si>
  <si>
    <t>thermal engine power to return to Deimos</t>
  </si>
  <si>
    <t>(copy of ) specific power "easy" to believe/achieve</t>
  </si>
  <si>
    <t>(copy of ) specific power claimed at INL</t>
  </si>
  <si>
    <t>tank factors</t>
  </si>
  <si>
    <t>input</t>
  </si>
  <si>
    <t>propMass</t>
  </si>
  <si>
    <t xml:space="preserve">tons metric </t>
  </si>
  <si>
    <t>FIRST GUESS at propellant mass</t>
  </si>
  <si>
    <t>YStress</t>
  </si>
  <si>
    <t>psi</t>
  </si>
  <si>
    <t>yield stress of tank wall material</t>
  </si>
  <si>
    <t>propRho</t>
  </si>
  <si>
    <t>g/cc or tons/cu.meter</t>
  </si>
  <si>
    <t>propellant density, rho</t>
  </si>
  <si>
    <t>propPatm</t>
  </si>
  <si>
    <t>propellant pressure</t>
  </si>
  <si>
    <t>tankRho</t>
  </si>
  <si>
    <t>g/cc, tons/m^^3</t>
  </si>
  <si>
    <t>tank mass density</t>
  </si>
  <si>
    <t>SafetFact</t>
  </si>
  <si>
    <t>safety factor for stressing tank, &gt;&gt;1 is very safe</t>
  </si>
  <si>
    <t>NGeesTank</t>
  </si>
  <si>
    <t xml:space="preserve">fraction </t>
  </si>
  <si>
    <t>number of G's tank will experience when ful, 1 Gee - 9.8 m/s/sl</t>
  </si>
  <si>
    <t>Ullage</t>
  </si>
  <si>
    <t>ullage, propellant left in tank when tank is "empty"</t>
  </si>
  <si>
    <t>gagelimit</t>
  </si>
  <si>
    <t>inches</t>
  </si>
  <si>
    <t>minimum thickness of material, gage limit</t>
  </si>
  <si>
    <t>tonspayload</t>
  </si>
  <si>
    <t>tons</t>
  </si>
  <si>
    <t>ASSUMED</t>
  </si>
  <si>
    <t>output</t>
  </si>
  <si>
    <t>tFactor</t>
  </si>
  <si>
    <t>&lt;&lt;1 is very good</t>
  </si>
  <si>
    <t>tons tank mass per ton propellant</t>
  </si>
  <si>
    <t>tankThick</t>
  </si>
  <si>
    <t>total tank thickness: conservative: sum of pressure &amp; hydro term</t>
  </si>
  <si>
    <t>kgTank</t>
  </si>
  <si>
    <t>total tank mass, kg</t>
  </si>
  <si>
    <t>PropPerTank</t>
  </si>
  <si>
    <t>&gt;&gt;1 is very good</t>
  </si>
  <si>
    <t>tons propellant per ton tank</t>
  </si>
  <si>
    <t>propVol</t>
  </si>
  <si>
    <t>m^^3</t>
  </si>
  <si>
    <t>propellant volume</t>
  </si>
  <si>
    <t>tankDiam</t>
  </si>
  <si>
    <t>meters</t>
  </si>
  <si>
    <t>diameter of tank if it were sphere</t>
  </si>
  <si>
    <t>Heidenreich changes 19990417</t>
  </si>
  <si>
    <t>kgHydro</t>
  </si>
  <si>
    <t>tank mass for Hydrostatic  = acceleration term</t>
  </si>
  <si>
    <t>thickHydro</t>
  </si>
  <si>
    <t>thickness of tank for hydrostatic pressure = acceleration</t>
  </si>
  <si>
    <t>kgPressure</t>
  </si>
  <si>
    <t>tank mass for Vapor Pressure term</t>
  </si>
  <si>
    <t>thickPressure</t>
  </si>
  <si>
    <t>thickness of tank for vapor pressure containment</t>
  </si>
  <si>
    <t>Timed Thrust missions</t>
  </si>
  <si>
    <t>Vehicle back to Deimos</t>
  </si>
  <si>
    <t>(copied) empty ship mass, e.g. good tank, engine rich</t>
  </si>
  <si>
    <t>margin payload excess</t>
  </si>
  <si>
    <t>bareship</t>
  </si>
  <si>
    <t>copied thrust time</t>
  </si>
  <si>
    <r>
      <t>Margin</t>
    </r>
    <r>
      <rPr>
        <sz val="10"/>
        <rFont val="Times New Roman"/>
        <family val="1"/>
      </rPr>
      <t xml:space="preserve"> excess propellant at destination</t>
    </r>
  </si>
  <si>
    <t>engine mass, optimistic</t>
  </si>
  <si>
    <t>acceleration relative to earth = 1g</t>
  </si>
  <si>
    <t>g</t>
  </si>
  <si>
    <t>50 kT, Slo Thrust credible engines, E_liq-g fixed</t>
  </si>
  <si>
    <t>1 is perfect, goes to zero as u or t go up
(1+tankF/100)-ef*(ullage+tankF)/100</t>
  </si>
  <si>
    <t>theoretical minimum delta_V</t>
  </si>
  <si>
    <t>%</t>
  </si>
  <si>
    <t>margin_dv</t>
  </si>
  <si>
    <t>EXP( mission delva_V / Vsp ) -1</t>
  </si>
  <si>
    <t>(copied) delta V to go up from LEO to 1 month HEEO</t>
  </si>
  <si>
    <t>(copied) Warp Zero: delta V at periapsis needed  to achieve Vinfinity to Mars</t>
  </si>
  <si>
    <t>(copied) Oberth Hohman to capture at Mars HEMO</t>
  </si>
  <si>
    <t>(copied) at apoapsis go down to Deimos tangent</t>
  </si>
  <si>
    <t>(copied) dock with Deimos</t>
  </si>
  <si>
    <t>(copied) to go up</t>
  </si>
  <si>
    <t>(copied) initial water to take the ship back</t>
  </si>
  <si>
    <t>thermal engine energy to return to Deimos
    E_liq_gas+0.5*Vsp*Vsp/nozfact</t>
  </si>
  <si>
    <t>(copied) empty ship mass</t>
  </si>
  <si>
    <t>(copied) to HEEO</t>
  </si>
  <si>
    <t xml:space="preserve">(copied) peak power </t>
  </si>
  <si>
    <t>to take the ship back from LEO</t>
  </si>
  <si>
    <t>50 kT, Slo Thrust credible engines,  dV 50% margin, E_liq-g fixed</t>
  </si>
  <si>
    <t>margin over minimum mission delta_V</t>
  </si>
  <si>
    <t>tank mass per fuel propellant mass, with margin</t>
  </si>
  <si>
    <t>engine --heater with its structure</t>
  </si>
  <si>
    <t>check acceleration calculation</t>
  </si>
  <si>
    <t>(copy) mission dV</t>
  </si>
  <si>
    <t>decelleration</t>
  </si>
  <si>
    <t>g_o</t>
  </si>
  <si>
    <t>reference surface gravity of Earth</t>
  </si>
  <si>
    <t>Gee</t>
  </si>
  <si>
    <t>g_min_final</t>
  </si>
  <si>
    <t>(copy) specific velocity</t>
  </si>
  <si>
    <t>( 1 - exp( - dV / Vsp )</t>
  </si>
  <si>
    <t>N</t>
  </si>
  <si>
    <t>propellant rate, m_dot</t>
  </si>
  <si>
    <t>newtons force = m_dot * Vsp</t>
  </si>
  <si>
    <t>m_dot * v is force, F = m * a</t>
  </si>
  <si>
    <t>(copy) segment delta V as actually used</t>
  </si>
  <si>
    <t>segment propellant == start mass * ef</t>
  </si>
  <si>
    <t>(copy) start mass as actually used</t>
  </si>
  <si>
    <t>(copy) segment duration actual</t>
  </si>
  <si>
    <t>initial acceleration = F / mass start</t>
  </si>
  <si>
    <t>final acceleration = F / (mass start - propellant)</t>
  </si>
  <si>
    <t>(copy) mission thrust duration</t>
  </si>
  <si>
    <t>min Gee at start</t>
  </si>
  <si>
    <t>max Gee at end</t>
  </si>
  <si>
    <t>min decelleration to get dV</t>
  </si>
  <si>
    <t>max decelleration G</t>
  </si>
  <si>
    <r>
      <t>(copy)</t>
    </r>
    <r>
      <rPr>
        <sz val="8"/>
        <rFont val="Arial"/>
        <family val="0"/>
      </rPr>
      <t xml:space="preserve"> delta V to go up from LEO to 1 month HEEO</t>
    </r>
  </si>
  <si>
    <t>acceleration estimate (Earth HEEO capture)</t>
  </si>
  <si>
    <t>go from Deimos to apoapsis HEMO of Oberth maneuver orbit</t>
  </si>
  <si>
    <t>dV at HEMO periapsis for Oberth to Mars-Earth Hohman trajectory</t>
  </si>
  <si>
    <t>Capture into HEEO at Earth</t>
  </si>
  <si>
    <t>Oberth dV+margin % for Earth Hohman xfr</t>
  </si>
  <si>
    <t>Oberth dV+margin% for Earth HEEO capture</t>
  </si>
  <si>
    <t>acceleration estimate (Mars HEMO xfr to Earth Hohman)</t>
  </si>
  <si>
    <t>maxGMars</t>
  </si>
  <si>
    <t>minCapturePwr</t>
  </si>
  <si>
    <t>tank-C Deimos 50 kT water ship 2010.06.28_0739.xls
Mission water ship (+Elg+Margin) Deimos 50 kton 20100629_1012.xls
M:\azinc\PROZX\watership sturrock</t>
  </si>
  <si>
    <t>Kevlar foil tank for H2O 50kt payload, 300 kT total</t>
  </si>
  <si>
    <t>date: 6/29/2010 12:25 PM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</si>
</sst>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#,##0.0000"/>
    <numFmt numFmtId="170" formatCode="0.000E+00"/>
    <numFmt numFmtId="171" formatCode="#,##0.000000"/>
    <numFmt numFmtId="172" formatCode="0.000"/>
    <numFmt numFmtId="173" formatCode="0.000\ 000\ 000"/>
    <numFmt numFmtId="174" formatCode="0.000\ E+00"/>
    <numFmt numFmtId="175" formatCode="[$-409]h:mm:ss\ AM/PM"/>
    <numFmt numFmtId="176" formatCode="[$-F400]h:mm:ss\ AM/PM"/>
    <numFmt numFmtId="177" formatCode="m/d/yy\ h:mm;@"/>
    <numFmt numFmtId="178" formatCode="[$-409]dddd\,\ mmmm\ dd\,\ yyyy"/>
  </numFmts>
  <fonts count="15">
    <font>
      <sz val="10"/>
      <name val="Arial"/>
      <family val="0"/>
    </font>
    <font>
      <sz val="8"/>
      <name val="Arial"/>
      <family val="0"/>
    </font>
    <font>
      <sz val="8"/>
      <name val="News Gothic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8"/>
      <name val="Geneva"/>
      <family val="0"/>
    </font>
    <font>
      <b/>
      <sz val="10"/>
      <name val="Times New Roman"/>
      <family val="1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1" fontId="5" fillId="0" borderId="0" xfId="0" applyNumberFormat="1" applyFont="1" applyAlignment="1">
      <alignment/>
    </xf>
    <xf numFmtId="0" fontId="5" fillId="0" borderId="1" xfId="0" applyFont="1" applyBorder="1" applyAlignment="1">
      <alignment horizontal="right"/>
    </xf>
    <xf numFmtId="11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/>
    </xf>
    <xf numFmtId="18" fontId="13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5" fillId="0" borderId="1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11" fontId="0" fillId="0" borderId="0" xfId="0" applyNumberFormat="1" applyBorder="1" applyAlignment="1">
      <alignment/>
    </xf>
    <xf numFmtId="0" fontId="6" fillId="3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7" fillId="0" borderId="8" xfId="0" applyFont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0" fillId="0" borderId="8" xfId="0" applyBorder="1" applyAlignment="1">
      <alignment/>
    </xf>
    <xf numFmtId="0" fontId="11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8" xfId="0" applyFont="1" applyBorder="1" applyAlignment="1">
      <alignment/>
    </xf>
    <xf numFmtId="11" fontId="5" fillId="0" borderId="9" xfId="0" applyNumberFormat="1" applyFont="1" applyBorder="1" applyAlignment="1">
      <alignment/>
    </xf>
    <xf numFmtId="11" fontId="5" fillId="0" borderId="8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10" fillId="0" borderId="8" xfId="0" applyFont="1" applyBorder="1" applyAlignment="1">
      <alignment/>
    </xf>
    <xf numFmtId="0" fontId="12" fillId="0" borderId="0" xfId="0" applyFont="1" applyBorder="1" applyAlignment="1">
      <alignment/>
    </xf>
    <xf numFmtId="11" fontId="12" fillId="0" borderId="8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7" fillId="0" borderId="3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2" xfId="0" applyFont="1" applyBorder="1" applyAlignment="1">
      <alignment/>
    </xf>
    <xf numFmtId="4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0" fontId="11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0" fontId="10" fillId="0" borderId="1" xfId="0" applyFont="1" applyBorder="1" applyAlignment="1">
      <alignment wrapText="1"/>
    </xf>
    <xf numFmtId="11" fontId="10" fillId="0" borderId="9" xfId="0" applyNumberFormat="1" applyFont="1" applyBorder="1" applyAlignment="1">
      <alignment/>
    </xf>
    <xf numFmtId="0" fontId="10" fillId="0" borderId="7" xfId="0" applyFont="1" applyBorder="1" applyAlignment="1">
      <alignment/>
    </xf>
    <xf numFmtId="11" fontId="5" fillId="0" borderId="0" xfId="0" applyNumberFormat="1" applyFont="1" applyBorder="1" applyAlignment="1">
      <alignment/>
    </xf>
    <xf numFmtId="11" fontId="5" fillId="0" borderId="2" xfId="0" applyNumberFormat="1" applyFont="1" applyBorder="1" applyAlignment="1">
      <alignment/>
    </xf>
    <xf numFmtId="0" fontId="0" fillId="0" borderId="0" xfId="0" applyNumberFormat="1" applyAlignment="1">
      <alignment wrapText="1"/>
    </xf>
    <xf numFmtId="11" fontId="1" fillId="0" borderId="1" xfId="0" applyNumberFormat="1" applyFont="1" applyBorder="1" applyAlignment="1">
      <alignment/>
    </xf>
    <xf numFmtId="171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4" fontId="10" fillId="0" borderId="1" xfId="0" applyNumberFormat="1" applyFont="1" applyFill="1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11" fontId="1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 horizontal="right" wrapText="1"/>
    </xf>
    <xf numFmtId="4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" fillId="4" borderId="1" xfId="0" applyFont="1" applyFill="1" applyBorder="1" applyAlignment="1">
      <alignment horizontal="right" wrapText="1"/>
    </xf>
    <xf numFmtId="4" fontId="1" fillId="4" borderId="1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vertical="center" wrapText="1"/>
    </xf>
    <xf numFmtId="169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0" fontId="11" fillId="0" borderId="8" xfId="0" applyFont="1" applyFill="1" applyBorder="1" applyAlignment="1">
      <alignment/>
    </xf>
    <xf numFmtId="4" fontId="5" fillId="0" borderId="2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7" fillId="0" borderId="7" xfId="0" applyFont="1" applyBorder="1" applyAlignment="1">
      <alignment/>
    </xf>
    <xf numFmtId="11" fontId="7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/>
    </xf>
    <xf numFmtId="4" fontId="10" fillId="0" borderId="1" xfId="0" applyNumberFormat="1" applyFont="1" applyFill="1" applyBorder="1" applyAlignment="1">
      <alignment/>
    </xf>
    <xf numFmtId="0" fontId="0" fillId="0" borderId="3" xfId="0" applyBorder="1" applyAlignment="1">
      <alignment wrapText="1"/>
    </xf>
    <xf numFmtId="11" fontId="0" fillId="0" borderId="8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9" fillId="0" borderId="3" xfId="0" applyFont="1" applyBorder="1" applyAlignment="1">
      <alignment wrapText="1"/>
    </xf>
    <xf numFmtId="177" fontId="7" fillId="0" borderId="8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9" xfId="0" applyFont="1" applyBorder="1" applyAlignment="1">
      <alignment/>
    </xf>
    <xf numFmtId="11" fontId="10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7" fillId="0" borderId="9" xfId="0" applyFont="1" applyBorder="1" applyAlignment="1">
      <alignment/>
    </xf>
    <xf numFmtId="0" fontId="1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62"/>
  <sheetViews>
    <sheetView tabSelected="1" workbookViewId="0" topLeftCell="A244">
      <selection activeCell="B261" sqref="B261"/>
    </sheetView>
  </sheetViews>
  <sheetFormatPr defaultColWidth="9.140625" defaultRowHeight="12.75"/>
  <cols>
    <col min="1" max="1" width="13.7109375" style="33" customWidth="1"/>
    <col min="2" max="2" width="21.57421875" style="0" customWidth="1"/>
    <col min="4" max="4" width="35.28125" style="0" customWidth="1"/>
    <col min="5" max="9" width="23.7109375" style="0" customWidth="1"/>
    <col min="10" max="10" width="20.57421875" style="0" customWidth="1"/>
    <col min="11" max="11" width="21.57421875" style="0" customWidth="1"/>
    <col min="12" max="12" width="26.7109375" style="0" customWidth="1"/>
  </cols>
  <sheetData>
    <row r="4" spans="2:4" ht="12.75">
      <c r="B4" s="131">
        <v>40358.413194444445</v>
      </c>
      <c r="C4" s="57"/>
      <c r="D4" s="57" t="s">
        <v>325</v>
      </c>
    </row>
    <row r="5" spans="2:10" ht="15">
      <c r="B5" s="55" t="s">
        <v>109</v>
      </c>
      <c r="C5" s="12"/>
      <c r="D5" s="12"/>
      <c r="E5" s="55"/>
      <c r="F5" s="55"/>
      <c r="G5" s="55"/>
      <c r="H5" s="55"/>
      <c r="I5" s="55"/>
      <c r="J5" s="17"/>
    </row>
    <row r="6" spans="2:15" ht="89.25">
      <c r="B6" s="56" t="s">
        <v>321</v>
      </c>
      <c r="C6" s="12"/>
      <c r="D6" s="27" t="s">
        <v>359</v>
      </c>
      <c r="E6" s="56" t="s">
        <v>303</v>
      </c>
      <c r="F6" s="56"/>
      <c r="G6" s="56"/>
      <c r="H6" s="56"/>
      <c r="I6" s="56"/>
      <c r="J6" s="18"/>
      <c r="K6" s="18"/>
      <c r="L6" s="18"/>
      <c r="M6" s="18"/>
      <c r="N6" s="18"/>
      <c r="O6" s="18"/>
    </row>
    <row r="7" spans="1:15" ht="12.75">
      <c r="A7" s="33" t="s">
        <v>307</v>
      </c>
      <c r="B7" s="20">
        <v>50</v>
      </c>
      <c r="C7" s="20" t="s">
        <v>306</v>
      </c>
      <c r="D7" s="57" t="s">
        <v>322</v>
      </c>
      <c r="E7" s="20"/>
      <c r="F7" s="20"/>
      <c r="G7" s="20"/>
      <c r="H7" s="20"/>
      <c r="I7" s="20"/>
      <c r="J7" s="16"/>
      <c r="K7" s="16"/>
      <c r="L7" s="16"/>
      <c r="M7" s="16"/>
      <c r="N7" s="16"/>
      <c r="O7" s="16"/>
    </row>
    <row r="8" spans="1:15" ht="12.75">
      <c r="A8" s="33" t="s">
        <v>85</v>
      </c>
      <c r="B8" s="20">
        <v>1</v>
      </c>
      <c r="C8" s="20" t="s">
        <v>86</v>
      </c>
      <c r="D8" s="57" t="s">
        <v>88</v>
      </c>
      <c r="E8" s="20">
        <v>1</v>
      </c>
      <c r="F8" s="20"/>
      <c r="G8" s="20"/>
      <c r="H8" s="20"/>
      <c r="I8" s="20"/>
      <c r="J8" s="16"/>
      <c r="K8" s="16"/>
      <c r="L8" s="16"/>
      <c r="M8" s="16"/>
      <c r="N8" s="16"/>
      <c r="O8" s="16"/>
    </row>
    <row r="9" spans="1:15" ht="12.75">
      <c r="A9" s="33" t="s">
        <v>87</v>
      </c>
      <c r="B9" s="20">
        <v>0.01</v>
      </c>
      <c r="C9" s="20" t="s">
        <v>86</v>
      </c>
      <c r="D9" s="57" t="s">
        <v>323</v>
      </c>
      <c r="E9" s="20">
        <v>0.01</v>
      </c>
      <c r="F9" s="20"/>
      <c r="G9" s="20"/>
      <c r="H9" s="20"/>
      <c r="I9" s="20"/>
      <c r="J9" s="16"/>
      <c r="K9" s="16"/>
      <c r="L9" s="16"/>
      <c r="M9" s="16"/>
      <c r="N9" s="16"/>
      <c r="O9" s="16"/>
    </row>
    <row r="10" spans="1:15" ht="12.75">
      <c r="A10" s="33" t="s">
        <v>92</v>
      </c>
      <c r="B10" s="20">
        <v>190</v>
      </c>
      <c r="C10" s="20" t="s">
        <v>28</v>
      </c>
      <c r="D10" s="57" t="s">
        <v>93</v>
      </c>
      <c r="E10" s="20">
        <v>190</v>
      </c>
      <c r="F10" s="20"/>
      <c r="G10" s="20"/>
      <c r="H10" s="20"/>
      <c r="I10" s="20"/>
      <c r="J10" s="16"/>
      <c r="K10" s="16"/>
      <c r="L10" s="16"/>
      <c r="M10" s="16"/>
      <c r="N10" s="16"/>
      <c r="O10" s="16"/>
    </row>
    <row r="11" spans="1:15" ht="12.75">
      <c r="A11" s="33" t="s">
        <v>98</v>
      </c>
      <c r="B11" s="50">
        <v>50000</v>
      </c>
      <c r="C11" s="20" t="s">
        <v>8</v>
      </c>
      <c r="D11" s="68" t="s">
        <v>7</v>
      </c>
      <c r="E11" s="50">
        <v>50000</v>
      </c>
      <c r="F11" s="50"/>
      <c r="G11" s="50"/>
      <c r="H11" s="50"/>
      <c r="I11" s="50"/>
      <c r="J11" s="16"/>
      <c r="K11" s="16"/>
      <c r="L11" s="16"/>
      <c r="M11" s="16"/>
      <c r="N11" s="16"/>
      <c r="O11" s="16"/>
    </row>
    <row r="12" spans="1:15" ht="12.75">
      <c r="A12" s="33" t="s">
        <v>99</v>
      </c>
      <c r="B12" s="50">
        <v>123</v>
      </c>
      <c r="C12" s="20" t="s">
        <v>8</v>
      </c>
      <c r="D12" s="68" t="s">
        <v>324</v>
      </c>
      <c r="E12" s="122">
        <v>122</v>
      </c>
      <c r="F12" s="122"/>
      <c r="G12" s="122"/>
      <c r="H12" s="122"/>
      <c r="I12" s="122"/>
      <c r="J12" s="16"/>
      <c r="K12" s="16"/>
      <c r="L12" s="16"/>
      <c r="M12" s="16"/>
      <c r="N12" s="16"/>
      <c r="O12" s="16"/>
    </row>
    <row r="13" spans="1:9" ht="12.75">
      <c r="A13" s="33" t="s">
        <v>143</v>
      </c>
      <c r="B13" s="20">
        <v>0.95</v>
      </c>
      <c r="C13" s="20" t="s">
        <v>138</v>
      </c>
      <c r="D13" s="57" t="s">
        <v>139</v>
      </c>
      <c r="E13" s="20">
        <v>0.95</v>
      </c>
      <c r="F13" s="20"/>
      <c r="G13" s="20"/>
      <c r="H13" s="20"/>
      <c r="I13" s="20"/>
    </row>
    <row r="14" spans="1:9" ht="12.75">
      <c r="A14" s="33" t="s">
        <v>146</v>
      </c>
      <c r="B14" s="22">
        <v>10</v>
      </c>
      <c r="C14" s="22" t="s">
        <v>24</v>
      </c>
      <c r="D14" s="80" t="s">
        <v>136</v>
      </c>
      <c r="E14" s="22">
        <v>10</v>
      </c>
      <c r="F14" s="22"/>
      <c r="G14" s="22"/>
      <c r="H14" s="22"/>
      <c r="I14" s="22"/>
    </row>
    <row r="15" spans="2:15" ht="12.75">
      <c r="B15" s="57"/>
      <c r="C15" s="20"/>
      <c r="D15" s="20"/>
      <c r="E15" s="57"/>
      <c r="F15" s="57"/>
      <c r="G15" s="57"/>
      <c r="H15" s="57"/>
      <c r="I15" s="57"/>
      <c r="J15" s="16"/>
      <c r="K15" s="16"/>
      <c r="L15" s="16"/>
      <c r="M15" s="16"/>
      <c r="N15" s="16"/>
      <c r="O15" s="16"/>
    </row>
    <row r="16" spans="2:15" ht="12.75">
      <c r="B16" s="57"/>
      <c r="C16" s="20"/>
      <c r="D16" s="20"/>
      <c r="E16" s="57"/>
      <c r="F16" s="57"/>
      <c r="G16" s="57"/>
      <c r="H16" s="57"/>
      <c r="I16" s="57"/>
      <c r="J16" s="16"/>
      <c r="K16" s="16"/>
      <c r="L16" s="16"/>
      <c r="M16" s="16"/>
      <c r="N16" s="16"/>
      <c r="O16" s="16"/>
    </row>
    <row r="17" spans="2:15" ht="15">
      <c r="B17" s="58" t="s">
        <v>110</v>
      </c>
      <c r="C17" s="20"/>
      <c r="D17" s="20"/>
      <c r="E17" s="58" t="s">
        <v>110</v>
      </c>
      <c r="F17" s="58"/>
      <c r="G17" s="58"/>
      <c r="H17" s="58"/>
      <c r="I17" s="58"/>
      <c r="J17" s="17"/>
      <c r="K17" s="17"/>
      <c r="L17" s="17"/>
      <c r="M17" s="17"/>
      <c r="N17" s="17"/>
      <c r="O17" s="17"/>
    </row>
    <row r="18" spans="1:15" ht="15">
      <c r="A18" s="33" t="s">
        <v>89</v>
      </c>
      <c r="B18" s="123">
        <f>dV_ptheeo*(1+margin_dv/100)</f>
        <v>3234.54</v>
      </c>
      <c r="C18" s="20" t="s">
        <v>43</v>
      </c>
      <c r="D18" s="20" t="s">
        <v>90</v>
      </c>
      <c r="E18" s="20">
        <v>3234.54</v>
      </c>
      <c r="F18" s="20"/>
      <c r="G18" s="20"/>
      <c r="H18" s="20"/>
      <c r="I18" s="20"/>
      <c r="J18" s="16"/>
      <c r="K18" s="16"/>
      <c r="L18" s="16"/>
      <c r="M18" s="16"/>
      <c r="N18" s="16"/>
      <c r="O18" s="16"/>
    </row>
    <row r="19" spans="2:15" ht="15">
      <c r="B19" s="123">
        <f>tankM</f>
        <v>24.88827415923822</v>
      </c>
      <c r="C19" s="20" t="s">
        <v>8</v>
      </c>
      <c r="D19" s="20" t="s">
        <v>111</v>
      </c>
      <c r="E19" s="21">
        <v>24.88777761525324</v>
      </c>
      <c r="F19" s="21"/>
      <c r="G19" s="21"/>
      <c r="H19" s="21"/>
      <c r="I19" s="21"/>
      <c r="J19" s="17"/>
      <c r="K19" s="17"/>
      <c r="L19" s="17"/>
      <c r="M19" s="17"/>
      <c r="N19" s="17"/>
      <c r="O19" s="17"/>
    </row>
    <row r="20" spans="1:15" ht="15">
      <c r="A20" s="33" t="s">
        <v>297</v>
      </c>
      <c r="B20" s="123">
        <f>B19+Eng</f>
        <v>147.88827415923822</v>
      </c>
      <c r="C20" s="20" t="s">
        <v>8</v>
      </c>
      <c r="D20" s="20" t="s">
        <v>147</v>
      </c>
      <c r="E20" s="21">
        <v>146.88777761525324</v>
      </c>
      <c r="F20" s="21"/>
      <c r="G20" s="21"/>
      <c r="H20" s="21"/>
      <c r="I20" s="21"/>
      <c r="J20" s="17"/>
      <c r="K20" s="17"/>
      <c r="L20" s="17"/>
      <c r="M20" s="17"/>
      <c r="N20" s="17"/>
      <c r="O20" s="17"/>
    </row>
    <row r="21" spans="1:15" ht="15">
      <c r="A21" s="33" t="s">
        <v>223</v>
      </c>
      <c r="B21" s="123">
        <f>fuelProp</f>
        <v>248882.7415923822</v>
      </c>
      <c r="C21" s="20" t="s">
        <v>8</v>
      </c>
      <c r="D21" s="20" t="s">
        <v>104</v>
      </c>
      <c r="E21" s="123">
        <v>248877.7761525324</v>
      </c>
      <c r="F21" s="123"/>
      <c r="G21" s="123"/>
      <c r="H21" s="123"/>
      <c r="I21" s="123"/>
      <c r="J21" s="17"/>
      <c r="K21" s="17"/>
      <c r="L21" s="17"/>
      <c r="M21" s="17"/>
      <c r="N21" s="17"/>
      <c r="O21" s="17"/>
    </row>
    <row r="22" spans="2:15" ht="15">
      <c r="B22" s="123">
        <f>totalVeh</f>
        <v>299030.6298665414</v>
      </c>
      <c r="C22" s="20" t="s">
        <v>8</v>
      </c>
      <c r="D22" s="20" t="s">
        <v>133</v>
      </c>
      <c r="E22" s="123">
        <v>299024.6639301477</v>
      </c>
      <c r="F22" s="123"/>
      <c r="G22" s="123"/>
      <c r="H22" s="123"/>
      <c r="I22" s="123"/>
      <c r="J22" s="17"/>
      <c r="K22" s="17"/>
      <c r="L22" s="17"/>
      <c r="M22" s="17"/>
      <c r="N22" s="17"/>
      <c r="O22" s="17"/>
    </row>
    <row r="23" spans="2:15" ht="15">
      <c r="B23" s="123">
        <f>B140</f>
        <v>15137.857313959074</v>
      </c>
      <c r="C23" s="20" t="s">
        <v>8</v>
      </c>
      <c r="D23" s="23" t="s">
        <v>299</v>
      </c>
      <c r="E23" s="123">
        <v>15137.555299767728</v>
      </c>
      <c r="F23" s="123"/>
      <c r="G23" s="123"/>
      <c r="H23" s="123"/>
      <c r="I23" s="123"/>
      <c r="J23" s="17"/>
      <c r="K23" s="17"/>
      <c r="L23" s="17"/>
      <c r="M23" s="17"/>
      <c r="N23" s="17"/>
      <c r="O23" s="17"/>
    </row>
    <row r="24" spans="2:15" ht="15">
      <c r="B24" s="21">
        <f>MAX(g_min_final,maxGMars)</f>
        <v>0.005214814104384613</v>
      </c>
      <c r="C24" s="20" t="s">
        <v>302</v>
      </c>
      <c r="D24" s="23" t="s">
        <v>301</v>
      </c>
      <c r="E24">
        <v>0.005214814104384613</v>
      </c>
      <c r="J24" s="17"/>
      <c r="K24" s="17"/>
      <c r="L24" s="17"/>
      <c r="M24" s="17"/>
      <c r="N24" s="17"/>
      <c r="O24" s="17"/>
    </row>
    <row r="25" spans="2:15" ht="15">
      <c r="B25" s="59"/>
      <c r="C25" s="20"/>
      <c r="D25" s="20"/>
      <c r="J25" s="17"/>
      <c r="K25" s="17"/>
      <c r="L25" s="17"/>
      <c r="M25" s="17"/>
      <c r="N25" s="17"/>
      <c r="O25" s="17"/>
    </row>
    <row r="26" spans="1:15" ht="12.75">
      <c r="A26" s="33" t="s">
        <v>91</v>
      </c>
      <c r="B26" s="57">
        <f>Isp*9.8</f>
        <v>1862.0000000000002</v>
      </c>
      <c r="C26" s="20" t="s">
        <v>43</v>
      </c>
      <c r="D26" s="20" t="s">
        <v>94</v>
      </c>
      <c r="J26" s="16"/>
      <c r="K26" s="16"/>
      <c r="L26" s="16"/>
      <c r="M26" s="16"/>
      <c r="N26" s="16"/>
      <c r="O26" s="16"/>
    </row>
    <row r="27" spans="1:15" ht="12.75">
      <c r="A27" s="33" t="s">
        <v>96</v>
      </c>
      <c r="B27" s="57">
        <f>EXP(dV/Vsp)</f>
        <v>5.681027509907497</v>
      </c>
      <c r="C27" s="20" t="s">
        <v>97</v>
      </c>
      <c r="D27" s="20" t="s">
        <v>95</v>
      </c>
      <c r="J27" s="16"/>
      <c r="K27" s="16"/>
      <c r="L27" s="16"/>
      <c r="M27" s="16"/>
      <c r="N27" s="16"/>
      <c r="O27" s="16"/>
    </row>
    <row r="28" spans="1:15" ht="12.75">
      <c r="A28" s="33" t="s">
        <v>100</v>
      </c>
      <c r="B28" s="57">
        <f>Pld+Eng</f>
        <v>50123</v>
      </c>
      <c r="C28" s="20" t="s">
        <v>8</v>
      </c>
      <c r="D28" s="20" t="s">
        <v>101</v>
      </c>
      <c r="J28" s="16"/>
      <c r="K28" s="16"/>
      <c r="L28" s="16"/>
      <c r="M28" s="16"/>
      <c r="N28" s="16"/>
      <c r="O28" s="16"/>
    </row>
    <row r="29" spans="1:15" ht="25.5">
      <c r="A29" s="33" t="s">
        <v>102</v>
      </c>
      <c r="B29" s="57">
        <f>(1+tankF/100)-ef*(ullage+tankF)/100</f>
        <v>0.9427216221499343</v>
      </c>
      <c r="C29" s="20"/>
      <c r="D29" s="26" t="s">
        <v>304</v>
      </c>
      <c r="J29" s="16"/>
      <c r="K29" s="16"/>
      <c r="L29" s="16"/>
      <c r="M29" s="16"/>
      <c r="N29" s="16"/>
      <c r="O29" s="16"/>
    </row>
    <row r="30" spans="1:15" ht="12.75">
      <c r="A30" s="33" t="s">
        <v>103</v>
      </c>
      <c r="B30" s="57">
        <f>(Pld+Eng)*(ef-1)/tankullageF</f>
        <v>248882.7415923822</v>
      </c>
      <c r="C30" s="20" t="s">
        <v>8</v>
      </c>
      <c r="D30" s="20" t="s">
        <v>104</v>
      </c>
      <c r="J30" s="16"/>
      <c r="K30" s="16"/>
      <c r="L30" s="16"/>
      <c r="M30" s="16"/>
      <c r="N30" s="16"/>
      <c r="O30" s="16"/>
    </row>
    <row r="31" spans="1:15" ht="12.75">
      <c r="A31" s="33" t="s">
        <v>106</v>
      </c>
      <c r="B31" s="57">
        <f>fuelProp*tankF/100</f>
        <v>24.88827415923822</v>
      </c>
      <c r="C31" s="20" t="s">
        <v>8</v>
      </c>
      <c r="D31" s="20" t="s">
        <v>107</v>
      </c>
      <c r="J31" s="16"/>
      <c r="K31" s="16"/>
      <c r="L31" s="16"/>
      <c r="M31" s="16"/>
      <c r="N31" s="16"/>
      <c r="O31" s="16"/>
    </row>
    <row r="32" spans="1:15" ht="12.75">
      <c r="A32" s="33" t="s">
        <v>105</v>
      </c>
      <c r="B32" s="57">
        <f>fuelProp+Pld+Eng+tankM</f>
        <v>299030.6298665414</v>
      </c>
      <c r="C32" s="20" t="s">
        <v>8</v>
      </c>
      <c r="D32" s="20" t="s">
        <v>108</v>
      </c>
      <c r="J32" s="16"/>
      <c r="K32" s="16"/>
      <c r="L32" s="16"/>
      <c r="M32" s="16"/>
      <c r="N32" s="16"/>
      <c r="O32" s="16"/>
    </row>
    <row r="33" spans="2:10" ht="15">
      <c r="B33" s="16"/>
      <c r="C33" s="16"/>
      <c r="D33" s="16"/>
      <c r="J33" s="17"/>
    </row>
    <row r="34" spans="2:4" ht="12.75">
      <c r="B34" s="16"/>
      <c r="C34" s="16"/>
      <c r="D34" s="16"/>
    </row>
    <row r="35" spans="2:4" ht="15">
      <c r="B35" s="59" t="s">
        <v>126</v>
      </c>
      <c r="C35" s="20"/>
      <c r="D35" s="20"/>
    </row>
    <row r="36" spans="2:4" ht="12.75">
      <c r="B36" s="57" t="s">
        <v>109</v>
      </c>
      <c r="C36" s="20"/>
      <c r="D36" s="20"/>
    </row>
    <row r="37" spans="1:4" ht="12.75">
      <c r="A37" s="33" t="s">
        <v>118</v>
      </c>
      <c r="B37" s="57">
        <v>497</v>
      </c>
      <c r="C37" s="20" t="s">
        <v>43</v>
      </c>
      <c r="D37" s="20" t="s">
        <v>129</v>
      </c>
    </row>
    <row r="38" spans="1:4" ht="12.75">
      <c r="A38" s="33" t="s">
        <v>115</v>
      </c>
      <c r="B38" s="57">
        <v>305</v>
      </c>
      <c r="C38" s="20" t="s">
        <v>43</v>
      </c>
      <c r="D38" s="20" t="s">
        <v>128</v>
      </c>
    </row>
    <row r="39" spans="1:4" ht="12.75">
      <c r="A39" s="33" t="s">
        <v>116</v>
      </c>
      <c r="B39" s="57">
        <v>853</v>
      </c>
      <c r="C39" s="20" t="s">
        <v>43</v>
      </c>
      <c r="D39" s="20" t="s">
        <v>113</v>
      </c>
    </row>
    <row r="40" spans="1:4" ht="12.75">
      <c r="A40" s="33" t="s">
        <v>119</v>
      </c>
      <c r="B40" s="57">
        <f>dV_3*(1+margin_dv/100)</f>
        <v>1279.5</v>
      </c>
      <c r="C40" s="20" t="s">
        <v>43</v>
      </c>
      <c r="D40" s="20" t="s">
        <v>121</v>
      </c>
    </row>
    <row r="41" spans="1:4" ht="12.75">
      <c r="A41" s="33" t="s">
        <v>117</v>
      </c>
      <c r="B41" s="60">
        <v>501.36</v>
      </c>
      <c r="C41" s="20" t="s">
        <v>43</v>
      </c>
      <c r="D41" s="20" t="s">
        <v>114</v>
      </c>
    </row>
    <row r="42" spans="1:4" ht="12.75">
      <c r="A42" s="33" t="s">
        <v>120</v>
      </c>
      <c r="B42" s="61">
        <f>dV_4*(1+margin_dv/100)</f>
        <v>752.04</v>
      </c>
      <c r="C42" s="20" t="s">
        <v>43</v>
      </c>
      <c r="D42" s="20" t="s">
        <v>121</v>
      </c>
    </row>
    <row r="43" spans="2:4" ht="12.75">
      <c r="B43" s="61"/>
      <c r="C43" s="12"/>
      <c r="D43" s="12"/>
    </row>
    <row r="44" spans="1:4" ht="12.75">
      <c r="A44" s="33" t="s">
        <v>122</v>
      </c>
      <c r="B44" s="61">
        <f>dV_1+dV_2+dV_3+dV_4</f>
        <v>2156.36</v>
      </c>
      <c r="C44" s="20" t="s">
        <v>43</v>
      </c>
      <c r="D44" s="20" t="s">
        <v>123</v>
      </c>
    </row>
    <row r="45" spans="1:4" ht="12.75">
      <c r="A45" s="33" t="s">
        <v>124</v>
      </c>
      <c r="B45" s="61">
        <f>dV_1+dV_2+dV_3_fifty+dV_4_fifty</f>
        <v>2833.54</v>
      </c>
      <c r="C45" s="20" t="s">
        <v>43</v>
      </c>
      <c r="D45" s="20" t="s">
        <v>125</v>
      </c>
    </row>
    <row r="46" spans="2:4" ht="12.75">
      <c r="B46" s="34"/>
      <c r="C46" s="35"/>
      <c r="D46" s="35"/>
    </row>
    <row r="47" spans="1:4" ht="12.75">
      <c r="A47" s="33" t="s">
        <v>205</v>
      </c>
      <c r="B47" s="61">
        <f>dV_1+dV_2+dV_3+dV_4</f>
        <v>2156.36</v>
      </c>
      <c r="C47" s="20" t="s">
        <v>43</v>
      </c>
      <c r="D47" s="20" t="s">
        <v>305</v>
      </c>
    </row>
    <row r="48" spans="1:4" ht="12.75">
      <c r="A48" s="33" t="s">
        <v>178</v>
      </c>
      <c r="B48" s="139">
        <f>UpDeltaV</f>
        <v>2819.119664393395</v>
      </c>
      <c r="C48" t="s">
        <v>43</v>
      </c>
      <c r="D48" s="140" t="s">
        <v>349</v>
      </c>
    </row>
    <row r="49" spans="2:4" ht="12.75">
      <c r="B49" s="34"/>
      <c r="C49" s="35"/>
      <c r="D49" s="35"/>
    </row>
    <row r="50" spans="2:4" ht="12.75">
      <c r="B50" s="89" t="s">
        <v>228</v>
      </c>
      <c r="C50" s="37"/>
      <c r="D50" s="38"/>
    </row>
    <row r="51" spans="2:4" ht="12.75">
      <c r="B51" s="12"/>
      <c r="C51" s="12"/>
      <c r="D51" s="12"/>
    </row>
    <row r="52" spans="1:4" ht="12.75">
      <c r="A52" s="33" t="s">
        <v>224</v>
      </c>
      <c r="B52" s="137">
        <v>480000</v>
      </c>
      <c r="C52" s="25" t="s">
        <v>171</v>
      </c>
      <c r="D52" s="23" t="s">
        <v>225</v>
      </c>
    </row>
    <row r="53" spans="1:9" ht="12.75">
      <c r="A53" s="33" t="s">
        <v>230</v>
      </c>
      <c r="B53" s="137">
        <v>2700000</v>
      </c>
      <c r="C53" s="25" t="s">
        <v>171</v>
      </c>
      <c r="D53" s="86" t="s">
        <v>226</v>
      </c>
      <c r="G53">
        <v>2700000</v>
      </c>
      <c r="H53">
        <v>2700000</v>
      </c>
      <c r="I53" t="s">
        <v>171</v>
      </c>
    </row>
    <row r="54" spans="1:4" ht="12.75">
      <c r="A54" s="33" t="s">
        <v>206</v>
      </c>
      <c r="B54" s="137">
        <v>100</v>
      </c>
      <c r="C54" s="20" t="s">
        <v>207</v>
      </c>
      <c r="D54" s="20" t="s">
        <v>208</v>
      </c>
    </row>
    <row r="55" spans="1:4" ht="12.75">
      <c r="A55" s="33" t="s">
        <v>211</v>
      </c>
      <c r="B55" s="92">
        <v>300</v>
      </c>
      <c r="C55" s="20" t="s">
        <v>207</v>
      </c>
      <c r="D55" s="20" t="s">
        <v>212</v>
      </c>
    </row>
    <row r="56" spans="1:4" ht="12.75">
      <c r="A56" s="33" t="s">
        <v>328</v>
      </c>
      <c r="B56" s="92">
        <v>9.8</v>
      </c>
      <c r="C56" s="20" t="s">
        <v>170</v>
      </c>
      <c r="D56" s="20" t="s">
        <v>329</v>
      </c>
    </row>
    <row r="57" spans="1:4" ht="12.75">
      <c r="A57" s="33" t="s">
        <v>178</v>
      </c>
      <c r="B57" s="23">
        <v>2819.119664393395</v>
      </c>
      <c r="C57" s="20" t="s">
        <v>43</v>
      </c>
      <c r="D57" s="26" t="s">
        <v>183</v>
      </c>
    </row>
    <row r="58" spans="2:4" ht="12.75">
      <c r="B58" s="36"/>
      <c r="C58" s="37"/>
      <c r="D58" s="38"/>
    </row>
    <row r="59" spans="2:4" ht="20.25">
      <c r="B59" s="62" t="s">
        <v>221</v>
      </c>
      <c r="C59" s="37"/>
      <c r="D59" s="38"/>
    </row>
    <row r="60" spans="2:4" ht="12.75">
      <c r="B60" s="92">
        <f>MAX(minEnginePwr,minCapturePwr)</f>
        <v>12142429872.713844</v>
      </c>
      <c r="C60" s="22" t="s">
        <v>37</v>
      </c>
      <c r="D60" s="23" t="s">
        <v>234</v>
      </c>
    </row>
    <row r="61" spans="2:4" ht="12.75">
      <c r="B61" s="92">
        <f>pwrspeasy</f>
        <v>100</v>
      </c>
      <c r="C61" s="41" t="s">
        <v>207</v>
      </c>
      <c r="D61" s="20" t="s">
        <v>236</v>
      </c>
    </row>
    <row r="62" spans="2:4" ht="12.75">
      <c r="B62" s="92">
        <f>pwrspINL</f>
        <v>300</v>
      </c>
      <c r="C62" s="41" t="s">
        <v>207</v>
      </c>
      <c r="D62" s="20" t="s">
        <v>237</v>
      </c>
    </row>
    <row r="63" spans="2:4" ht="12.75">
      <c r="B63" s="82">
        <f>B60/pwrspeasy/1000000</f>
        <v>121.42429872713845</v>
      </c>
      <c r="C63" s="76" t="s">
        <v>209</v>
      </c>
      <c r="D63" s="77" t="s">
        <v>210</v>
      </c>
    </row>
    <row r="64" spans="2:4" ht="12.75">
      <c r="B64" s="119">
        <f>B60/1000000/pwrspINL</f>
        <v>40.47476624237948</v>
      </c>
      <c r="C64" s="120" t="s">
        <v>209</v>
      </c>
      <c r="D64" s="121" t="s">
        <v>300</v>
      </c>
    </row>
    <row r="65" spans="2:4" ht="12.75">
      <c r="B65" s="89"/>
      <c r="C65" s="37"/>
      <c r="D65" s="38"/>
    </row>
    <row r="66" ht="12.75">
      <c r="B66" s="33"/>
    </row>
    <row r="67" spans="1:4" ht="20.25">
      <c r="A67" s="132"/>
      <c r="B67" s="72" t="s">
        <v>350</v>
      </c>
      <c r="C67" s="51"/>
      <c r="D67" s="51"/>
    </row>
    <row r="68" spans="1:4" ht="12.75">
      <c r="A68" s="133"/>
      <c r="B68" s="40"/>
      <c r="C68" s="34"/>
      <c r="D68" s="73" t="s">
        <v>337</v>
      </c>
    </row>
    <row r="69" spans="1:4" ht="12.75">
      <c r="A69" s="133"/>
      <c r="B69" s="35">
        <f>B135</f>
        <v>97774.32465320511</v>
      </c>
      <c r="C69" s="34" t="s">
        <v>209</v>
      </c>
      <c r="D69" s="73" t="s">
        <v>340</v>
      </c>
    </row>
    <row r="70" spans="1:4" ht="12.75">
      <c r="A70" s="133"/>
      <c r="B70" s="35">
        <f>Vsp</f>
        <v>1862.0000000000002</v>
      </c>
      <c r="C70" s="34" t="s">
        <v>43</v>
      </c>
      <c r="D70" s="73" t="s">
        <v>332</v>
      </c>
    </row>
    <row r="71" spans="1:4" ht="12.75">
      <c r="A71" s="133"/>
      <c r="B71" s="35">
        <f>B136</f>
        <v>752.04</v>
      </c>
      <c r="C71" s="34" t="s">
        <v>43</v>
      </c>
      <c r="D71" s="73" t="s">
        <v>338</v>
      </c>
    </row>
    <row r="72" spans="1:4" ht="12.75">
      <c r="A72" s="133"/>
      <c r="B72" s="35">
        <f>slowtime</f>
        <v>10</v>
      </c>
      <c r="C72" s="138" t="s">
        <v>198</v>
      </c>
      <c r="D72" s="73" t="s">
        <v>341</v>
      </c>
    </row>
    <row r="73" spans="1:4" ht="12.75">
      <c r="A73" s="133"/>
      <c r="B73" s="35"/>
      <c r="C73" s="34"/>
      <c r="D73" s="73"/>
    </row>
    <row r="74" spans="1:4" ht="12.75">
      <c r="A74" s="133" t="s">
        <v>96</v>
      </c>
      <c r="B74" s="35">
        <f>1-EXP(-B71/B70)</f>
        <v>0.33228129348190594</v>
      </c>
      <c r="C74" s="34"/>
      <c r="D74" s="73" t="s">
        <v>333</v>
      </c>
    </row>
    <row r="75" spans="1:4" ht="12.75">
      <c r="A75" s="133"/>
      <c r="B75" s="35">
        <f>B69*B74</f>
        <v>32488.5790650868</v>
      </c>
      <c r="C75" s="138" t="s">
        <v>209</v>
      </c>
      <c r="D75" s="73" t="s">
        <v>339</v>
      </c>
    </row>
    <row r="76" spans="1:4" ht="12.75">
      <c r="A76" s="133"/>
      <c r="B76" s="35">
        <f>B75*1000/(slowtime*3600)</f>
        <v>902.4605295857444</v>
      </c>
      <c r="C76" s="138" t="s">
        <v>168</v>
      </c>
      <c r="D76" s="73" t="s">
        <v>335</v>
      </c>
    </row>
    <row r="77" spans="1:4" ht="12.75">
      <c r="A77" s="133"/>
      <c r="B77" s="35">
        <f>B76*B70</f>
        <v>1680381.5060886564</v>
      </c>
      <c r="C77" s="138" t="s">
        <v>334</v>
      </c>
      <c r="D77" s="73" t="s">
        <v>336</v>
      </c>
    </row>
    <row r="78" spans="1:4" ht="12.75">
      <c r="A78" s="133"/>
      <c r="B78" s="35">
        <f>B77/(B69*1000)</f>
        <v>0.017186326901758583</v>
      </c>
      <c r="C78" s="138" t="s">
        <v>170</v>
      </c>
      <c r="D78" s="73" t="s">
        <v>342</v>
      </c>
    </row>
    <row r="79" spans="1:4" ht="12.75">
      <c r="A79" s="133"/>
      <c r="B79" s="35">
        <f>B77/((B69-B75)*1000)</f>
        <v>0.0257388728726486</v>
      </c>
      <c r="C79" s="138" t="s">
        <v>170</v>
      </c>
      <c r="D79" s="73" t="s">
        <v>343</v>
      </c>
    </row>
    <row r="80" spans="1:4" ht="12.75">
      <c r="A80" s="133"/>
      <c r="B80" s="40">
        <f>B78/g_o</f>
        <v>0.0017537068267100594</v>
      </c>
      <c r="C80" s="138"/>
      <c r="D80" s="73" t="s">
        <v>345</v>
      </c>
    </row>
    <row r="81" spans="1:4" ht="12.75">
      <c r="A81" s="133"/>
      <c r="B81" s="40">
        <f>B79/g_o</f>
        <v>0.0026264155992498568</v>
      </c>
      <c r="C81" s="138"/>
      <c r="D81" s="73" t="s">
        <v>346</v>
      </c>
    </row>
    <row r="82" spans="1:4" ht="12.75">
      <c r="A82" s="133"/>
      <c r="B82" s="40"/>
      <c r="C82" s="34"/>
      <c r="D82" s="73"/>
    </row>
    <row r="83" spans="1:4" ht="12.75">
      <c r="A83" s="133"/>
      <c r="B83" s="89"/>
      <c r="C83" s="37"/>
      <c r="D83" s="75"/>
    </row>
    <row r="84" spans="1:4" ht="12.75">
      <c r="A84" s="133"/>
      <c r="B84" s="89">
        <f>dV_4_fifty</f>
        <v>752.04</v>
      </c>
      <c r="C84" s="37" t="s">
        <v>43</v>
      </c>
      <c r="D84" s="75" t="s">
        <v>326</v>
      </c>
    </row>
    <row r="85" spans="1:4" ht="12.75">
      <c r="A85" s="133"/>
      <c r="B85" s="35">
        <f>slowtime</f>
        <v>10</v>
      </c>
      <c r="C85" s="34" t="s">
        <v>198</v>
      </c>
      <c r="D85" s="43" t="s">
        <v>344</v>
      </c>
    </row>
    <row r="86" spans="1:4" ht="12.75">
      <c r="A86" s="133"/>
      <c r="B86" s="35">
        <f>B84/(B85*60*60)</f>
        <v>0.02089</v>
      </c>
      <c r="C86" s="34" t="s">
        <v>170</v>
      </c>
      <c r="D86" s="43" t="s">
        <v>327</v>
      </c>
    </row>
    <row r="87" spans="1:4" ht="12.75">
      <c r="A87" s="133"/>
      <c r="B87" s="35">
        <f>B86/g_o</f>
        <v>0.002131632653061224</v>
      </c>
      <c r="C87" s="34"/>
      <c r="D87" s="43" t="s">
        <v>347</v>
      </c>
    </row>
    <row r="88" spans="1:4" ht="12.75">
      <c r="A88" s="134" t="s">
        <v>331</v>
      </c>
      <c r="B88" s="35">
        <f>B81</f>
        <v>0.0026264155992498568</v>
      </c>
      <c r="C88" s="135" t="s">
        <v>330</v>
      </c>
      <c r="D88" s="136" t="s">
        <v>348</v>
      </c>
    </row>
    <row r="89" spans="2:4" ht="12.75">
      <c r="B89" s="35"/>
      <c r="C89" s="40"/>
      <c r="D89" s="40"/>
    </row>
    <row r="90" spans="1:4" ht="20.25">
      <c r="A90" s="132"/>
      <c r="B90" s="72" t="s">
        <v>356</v>
      </c>
      <c r="C90" s="51"/>
      <c r="D90" s="51"/>
    </row>
    <row r="91" spans="1:4" ht="12.75">
      <c r="A91" s="133"/>
      <c r="B91" s="141"/>
      <c r="C91" s="48"/>
      <c r="D91" s="142" t="s">
        <v>337</v>
      </c>
    </row>
    <row r="92" spans="1:4" ht="12.75">
      <c r="A92" s="133"/>
      <c r="B92" s="143">
        <f>B123</f>
        <v>194382.20560549834</v>
      </c>
      <c r="C92" s="34" t="s">
        <v>209</v>
      </c>
      <c r="D92" s="73" t="s">
        <v>340</v>
      </c>
    </row>
    <row r="93" spans="1:4" ht="12.75">
      <c r="A93" s="133"/>
      <c r="B93" s="143">
        <f>Vsp</f>
        <v>1862.0000000000002</v>
      </c>
      <c r="C93" s="34" t="s">
        <v>43</v>
      </c>
      <c r="D93" s="73" t="s">
        <v>332</v>
      </c>
    </row>
    <row r="94" spans="1:4" ht="12.75">
      <c r="A94" s="133"/>
      <c r="B94" s="143">
        <f>B124</f>
        <v>1279.5</v>
      </c>
      <c r="C94" s="34" t="s">
        <v>43</v>
      </c>
      <c r="D94" s="73" t="s">
        <v>338</v>
      </c>
    </row>
    <row r="95" spans="1:4" ht="12.75">
      <c r="A95" s="133"/>
      <c r="B95" s="143">
        <f>slowtime</f>
        <v>10</v>
      </c>
      <c r="C95" s="138" t="s">
        <v>198</v>
      </c>
      <c r="D95" s="73" t="s">
        <v>341</v>
      </c>
    </row>
    <row r="96" spans="1:4" ht="12.75">
      <c r="A96" s="133"/>
      <c r="B96" s="143"/>
      <c r="C96" s="34"/>
      <c r="D96" s="73"/>
    </row>
    <row r="97" spans="1:4" ht="12.75">
      <c r="A97" s="133" t="s">
        <v>96</v>
      </c>
      <c r="B97" s="143">
        <f>1-EXP(-B94/B93)</f>
        <v>0.4969996129602542</v>
      </c>
      <c r="C97" s="34"/>
      <c r="D97" s="73" t="s">
        <v>333</v>
      </c>
    </row>
    <row r="98" spans="1:4" ht="12.75">
      <c r="A98" s="133"/>
      <c r="B98" s="143">
        <f>B92*B97</f>
        <v>96607.88095229323</v>
      </c>
      <c r="C98" s="138" t="s">
        <v>209</v>
      </c>
      <c r="D98" s="73" t="s">
        <v>339</v>
      </c>
    </row>
    <row r="99" spans="1:4" ht="12.75">
      <c r="A99" s="133"/>
      <c r="B99" s="143">
        <f>B98*1000/(slowtime*3600)</f>
        <v>2683.552248674812</v>
      </c>
      <c r="C99" s="138" t="s">
        <v>168</v>
      </c>
      <c r="D99" s="73" t="s">
        <v>335</v>
      </c>
    </row>
    <row r="100" spans="1:4" ht="12.75">
      <c r="A100" s="133"/>
      <c r="B100" s="143">
        <f>B99*B93</f>
        <v>4996774.2870325</v>
      </c>
      <c r="C100" s="138" t="s">
        <v>334</v>
      </c>
      <c r="D100" s="73" t="s">
        <v>336</v>
      </c>
    </row>
    <row r="101" spans="1:4" ht="12.75">
      <c r="A101" s="133"/>
      <c r="B101" s="143">
        <f>B100/(B92*1000)</f>
        <v>0.025705924425888704</v>
      </c>
      <c r="C101" s="138" t="s">
        <v>170</v>
      </c>
      <c r="D101" s="73" t="s">
        <v>342</v>
      </c>
    </row>
    <row r="102" spans="1:4" ht="12.75">
      <c r="A102" s="133"/>
      <c r="B102" s="143">
        <f>B100/((B92-B98)*1000)</f>
        <v>0.051105178222969214</v>
      </c>
      <c r="C102" s="138" t="s">
        <v>170</v>
      </c>
      <c r="D102" s="73" t="s">
        <v>343</v>
      </c>
    </row>
    <row r="103" spans="1:4" ht="12.75">
      <c r="A103" s="133"/>
      <c r="B103" s="44">
        <f>B101/g_o</f>
        <v>0.002623053512845786</v>
      </c>
      <c r="C103" s="138"/>
      <c r="D103" s="73" t="s">
        <v>345</v>
      </c>
    </row>
    <row r="104" spans="1:4" ht="12.75">
      <c r="A104" s="133" t="s">
        <v>357</v>
      </c>
      <c r="B104" s="144">
        <f>B102/g_o</f>
        <v>0.005214814104384613</v>
      </c>
      <c r="C104" s="145"/>
      <c r="D104" s="146" t="s">
        <v>346</v>
      </c>
    </row>
    <row r="105" spans="1:4" ht="12.75">
      <c r="A105" s="133"/>
      <c r="B105" s="40"/>
      <c r="C105" s="34"/>
      <c r="D105" s="73"/>
    </row>
    <row r="106" ht="12.75">
      <c r="B106" s="39"/>
    </row>
    <row r="107" ht="12.75">
      <c r="B107" s="39"/>
    </row>
    <row r="108" spans="2:4" ht="20.25">
      <c r="B108" s="79" t="s">
        <v>293</v>
      </c>
      <c r="C108" s="51"/>
      <c r="D108" s="51"/>
    </row>
    <row r="109" spans="2:4" ht="12.75">
      <c r="B109" s="42">
        <f>slowtime</f>
        <v>10</v>
      </c>
      <c r="C109" s="34" t="s">
        <v>24</v>
      </c>
      <c r="D109" s="43" t="s">
        <v>298</v>
      </c>
    </row>
    <row r="110" spans="2:4" ht="12.75">
      <c r="B110" s="42"/>
      <c r="C110" s="34"/>
      <c r="D110" s="75" t="s">
        <v>127</v>
      </c>
    </row>
    <row r="111" spans="2:4" ht="25.5">
      <c r="B111" s="42"/>
      <c r="C111" s="34"/>
      <c r="D111" s="130" t="s">
        <v>351</v>
      </c>
    </row>
    <row r="112" spans="2:4" ht="12.75">
      <c r="B112" s="81">
        <f>B22</f>
        <v>299030.6298665414</v>
      </c>
      <c r="C112" s="35" t="s">
        <v>8</v>
      </c>
      <c r="D112" s="73" t="s">
        <v>132</v>
      </c>
    </row>
    <row r="113" spans="2:4" ht="12.75">
      <c r="B113" s="81">
        <f>dV_1</f>
        <v>497</v>
      </c>
      <c r="C113" s="35" t="s">
        <v>43</v>
      </c>
      <c r="D113" s="73" t="s">
        <v>112</v>
      </c>
    </row>
    <row r="114" spans="2:4" ht="12.75">
      <c r="B114" s="81">
        <f>dV_2</f>
        <v>305</v>
      </c>
      <c r="C114" s="35" t="s">
        <v>43</v>
      </c>
      <c r="D114" s="73" t="s">
        <v>128</v>
      </c>
    </row>
    <row r="115" spans="2:4" ht="12.75">
      <c r="B115" s="42"/>
      <c r="C115" s="35"/>
      <c r="D115" s="73"/>
    </row>
    <row r="116" spans="2:4" ht="12.75">
      <c r="B116" s="81">
        <f>(B113+B114)</f>
        <v>802</v>
      </c>
      <c r="C116" s="35" t="s">
        <v>43</v>
      </c>
      <c r="D116" s="73" t="s">
        <v>130</v>
      </c>
    </row>
    <row r="117" spans="1:4" ht="12.75">
      <c r="A117" s="33" t="s">
        <v>96</v>
      </c>
      <c r="B117" s="81">
        <f>1-EXP(-B116/Vsp)</f>
        <v>0.34995887982360907</v>
      </c>
      <c r="C117" s="35"/>
      <c r="D117" s="73" t="s">
        <v>131</v>
      </c>
    </row>
    <row r="118" spans="2:4" ht="12.75">
      <c r="B118" s="81">
        <f>B112*B117</f>
        <v>104648.4242610431</v>
      </c>
      <c r="C118" s="35" t="s">
        <v>8</v>
      </c>
      <c r="D118" s="73" t="s">
        <v>134</v>
      </c>
    </row>
    <row r="119" spans="2:4" ht="12.75">
      <c r="B119" s="81">
        <f>B112-B118</f>
        <v>194382.20560549834</v>
      </c>
      <c r="C119" s="35" t="s">
        <v>8</v>
      </c>
      <c r="D119" s="73" t="s">
        <v>135</v>
      </c>
    </row>
    <row r="120" spans="2:4" ht="12.75">
      <c r="B120" s="42"/>
      <c r="C120" s="35"/>
      <c r="D120" s="43"/>
    </row>
    <row r="121" spans="2:4" ht="12.75">
      <c r="B121" s="44"/>
      <c r="C121" s="35"/>
      <c r="D121" s="75" t="s">
        <v>140</v>
      </c>
    </row>
    <row r="122" spans="2:4" ht="25.5">
      <c r="B122" s="44"/>
      <c r="C122" s="35"/>
      <c r="D122" s="130" t="s">
        <v>352</v>
      </c>
    </row>
    <row r="123" spans="2:4" ht="12.75">
      <c r="B123" s="81">
        <f>B119</f>
        <v>194382.20560549834</v>
      </c>
      <c r="C123" s="35" t="s">
        <v>8</v>
      </c>
      <c r="D123" s="73" t="s">
        <v>141</v>
      </c>
    </row>
    <row r="124" spans="2:4" ht="12.75">
      <c r="B124" s="81">
        <f>dV_3_fifty</f>
        <v>1279.5</v>
      </c>
      <c r="C124" s="35" t="s">
        <v>43</v>
      </c>
      <c r="D124" s="73" t="s">
        <v>354</v>
      </c>
    </row>
    <row r="125" spans="1:4" ht="12.75">
      <c r="A125" s="33" t="s">
        <v>96</v>
      </c>
      <c r="B125" s="81">
        <f>1-EXP(-B124/Vsp)</f>
        <v>0.4969996129602542</v>
      </c>
      <c r="C125" s="35"/>
      <c r="D125" s="73" t="s">
        <v>131</v>
      </c>
    </row>
    <row r="126" spans="2:4" ht="12.75">
      <c r="B126" s="81">
        <f>B123*B125</f>
        <v>96607.88095229323</v>
      </c>
      <c r="C126" s="35" t="s">
        <v>8</v>
      </c>
      <c r="D126" s="73" t="s">
        <v>134</v>
      </c>
    </row>
    <row r="127" spans="2:4" ht="12.75">
      <c r="B127" s="81">
        <f>B123-B126</f>
        <v>97774.32465320511</v>
      </c>
      <c r="C127" s="35" t="s">
        <v>8</v>
      </c>
      <c r="D127" s="73" t="s">
        <v>135</v>
      </c>
    </row>
    <row r="128" spans="2:4" ht="12.75">
      <c r="B128" s="42"/>
      <c r="C128" s="35"/>
      <c r="D128" s="43"/>
    </row>
    <row r="129" spans="2:4" ht="12.75">
      <c r="B129" s="81">
        <f>B126*1000/slowtime/3600</f>
        <v>2683.5522486748123</v>
      </c>
      <c r="C129" s="35" t="s">
        <v>137</v>
      </c>
      <c r="D129" s="73" t="s">
        <v>142</v>
      </c>
    </row>
    <row r="130" spans="1:4" ht="12.75">
      <c r="A130" s="33" t="s">
        <v>163</v>
      </c>
      <c r="B130" s="81">
        <f>B129*(0.5*Vsp*Vsp/nozfact)</f>
        <v>4896838801.291852</v>
      </c>
      <c r="C130" s="35" t="s">
        <v>37</v>
      </c>
      <c r="D130" s="73" t="s">
        <v>144</v>
      </c>
    </row>
    <row r="131" spans="1:4" ht="12.75">
      <c r="A131" s="33" t="s">
        <v>231</v>
      </c>
      <c r="B131" s="50">
        <f>B129*(E_liq_gas+0.5*Vsp*Vsp/nozfact)</f>
        <v>12142429872.713844</v>
      </c>
      <c r="C131" s="20" t="s">
        <v>37</v>
      </c>
      <c r="D131" s="23" t="s">
        <v>232</v>
      </c>
    </row>
    <row r="132" spans="2:4" ht="12.75">
      <c r="B132" s="90"/>
      <c r="C132" s="35"/>
      <c r="D132" s="75"/>
    </row>
    <row r="133" spans="2:4" ht="12.75">
      <c r="B133" s="42"/>
      <c r="C133" s="35"/>
      <c r="D133" s="75" t="s">
        <v>145</v>
      </c>
    </row>
    <row r="134" spans="2:4" ht="12.75">
      <c r="B134" s="42"/>
      <c r="C134" s="35"/>
      <c r="D134" s="130" t="s">
        <v>353</v>
      </c>
    </row>
    <row r="135" spans="2:4" ht="12.75">
      <c r="B135" s="81">
        <f>B127</f>
        <v>97774.32465320511</v>
      </c>
      <c r="C135" s="35" t="s">
        <v>8</v>
      </c>
      <c r="D135" s="73" t="s">
        <v>141</v>
      </c>
    </row>
    <row r="136" spans="2:4" ht="12.75">
      <c r="B136" s="81">
        <f>dV_4_fifty</f>
        <v>752.04</v>
      </c>
      <c r="C136" s="35" t="s">
        <v>43</v>
      </c>
      <c r="D136" s="73" t="s">
        <v>355</v>
      </c>
    </row>
    <row r="137" spans="1:4" ht="12.75">
      <c r="A137" s="33" t="s">
        <v>96</v>
      </c>
      <c r="B137" s="81">
        <f>1-EXP(-B136/Vsp)</f>
        <v>0.33228129348190594</v>
      </c>
      <c r="C137" s="35"/>
      <c r="D137" s="73" t="s">
        <v>131</v>
      </c>
    </row>
    <row r="138" spans="2:4" ht="12.75">
      <c r="B138" s="81">
        <f>B135*B137</f>
        <v>32488.5790650868</v>
      </c>
      <c r="C138" s="35" t="s">
        <v>8</v>
      </c>
      <c r="D138" s="73" t="s">
        <v>134</v>
      </c>
    </row>
    <row r="139" spans="2:4" ht="12.75">
      <c r="B139" s="50">
        <f>B135-B138</f>
        <v>65285.74558811831</v>
      </c>
      <c r="C139" s="20" t="s">
        <v>8</v>
      </c>
      <c r="D139" s="23" t="s">
        <v>135</v>
      </c>
    </row>
    <row r="140" spans="2:4" ht="12.75">
      <c r="B140" s="118">
        <f>B139-Pld-bareship</f>
        <v>15137.857313959074</v>
      </c>
      <c r="C140" s="20" t="s">
        <v>8</v>
      </c>
      <c r="D140" s="75" t="s">
        <v>296</v>
      </c>
    </row>
    <row r="141" spans="2:4" ht="12.75">
      <c r="B141" s="42"/>
      <c r="C141" s="35"/>
      <c r="D141" s="43"/>
    </row>
    <row r="142" spans="2:4" ht="12.75">
      <c r="B142" s="81">
        <f>B138*1000/(slowtime*3600)</f>
        <v>902.4605295857444</v>
      </c>
      <c r="C142" s="35" t="s">
        <v>137</v>
      </c>
      <c r="D142" s="73" t="s">
        <v>142</v>
      </c>
    </row>
    <row r="143" spans="1:4" s="34" customFormat="1" ht="12.75">
      <c r="A143" s="33"/>
      <c r="B143" s="81">
        <f>0.5*B142*Vsp*Vsp/nozfact</f>
        <v>1646773875.9668834</v>
      </c>
      <c r="C143" s="35" t="s">
        <v>37</v>
      </c>
      <c r="D143" s="73" t="s">
        <v>144</v>
      </c>
    </row>
    <row r="144" spans="1:4" s="34" customFormat="1" ht="12.75">
      <c r="A144" s="33" t="s">
        <v>358</v>
      </c>
      <c r="B144" s="50">
        <f>B142*(E_liq_gas+0.5*Vsp*Vsp/nozfact)</f>
        <v>4083417305.848393</v>
      </c>
      <c r="C144" s="20" t="s">
        <v>37</v>
      </c>
      <c r="D144" s="23" t="s">
        <v>233</v>
      </c>
    </row>
    <row r="146" spans="2:4" ht="12.75">
      <c r="B146" s="33"/>
      <c r="C146" s="48"/>
      <c r="D146" s="49"/>
    </row>
    <row r="147" spans="2:4" ht="12.75">
      <c r="B147" s="19"/>
      <c r="C147" s="19"/>
      <c r="D147" s="16"/>
    </row>
    <row r="148" spans="2:4" ht="20.25">
      <c r="B148" s="84" t="s">
        <v>214</v>
      </c>
      <c r="C148" s="78"/>
      <c r="D148" s="35"/>
    </row>
    <row r="149" spans="1:9" ht="12.75">
      <c r="A149" s="33" t="s">
        <v>177</v>
      </c>
      <c r="B149" s="87">
        <v>1</v>
      </c>
      <c r="C149" s="88" t="s">
        <v>175</v>
      </c>
      <c r="D149" s="88" t="s">
        <v>176</v>
      </c>
      <c r="G149">
        <v>2</v>
      </c>
      <c r="H149">
        <v>1</v>
      </c>
      <c r="I149" t="s">
        <v>175</v>
      </c>
    </row>
    <row r="151" spans="2:9" ht="12.75">
      <c r="B151" s="54">
        <f>fuelpropellant+Pld</f>
        <v>298882.7415923822</v>
      </c>
      <c r="C151" s="34" t="s">
        <v>8</v>
      </c>
      <c r="D151" s="34" t="s">
        <v>213</v>
      </c>
      <c r="G151">
        <v>28316.38043563524</v>
      </c>
      <c r="H151">
        <v>100000</v>
      </c>
      <c r="I151" t="s">
        <v>8</v>
      </c>
    </row>
    <row r="152" spans="2:9" ht="12.75">
      <c r="B152" s="54">
        <f>B151*1000</f>
        <v>298882741.5923822</v>
      </c>
      <c r="C152" s="34" t="s">
        <v>41</v>
      </c>
      <c r="D152" s="34" t="s">
        <v>172</v>
      </c>
      <c r="G152">
        <v>28316380.435635243</v>
      </c>
      <c r="H152">
        <v>100000000</v>
      </c>
      <c r="I152" t="s">
        <v>41</v>
      </c>
    </row>
    <row r="153" spans="2:9" ht="12.75">
      <c r="B153" s="66">
        <f>B152*(meltheat)</f>
        <v>143463715964343.44</v>
      </c>
      <c r="C153" s="52" t="s">
        <v>173</v>
      </c>
      <c r="D153" s="53" t="s">
        <v>174</v>
      </c>
      <c r="G153">
        <v>76454227176215.16</v>
      </c>
      <c r="H153">
        <v>270000000000000</v>
      </c>
      <c r="I153" t="s">
        <v>173</v>
      </c>
    </row>
    <row r="154" spans="2:4" ht="12.75">
      <c r="B154" s="66"/>
      <c r="C154" s="52"/>
      <c r="D154" s="53"/>
    </row>
    <row r="155" spans="2:9" ht="12.75">
      <c r="B155" s="67">
        <f>B153/meltime/365/24/3600</f>
        <v>4549204.590447216</v>
      </c>
      <c r="C155" s="12" t="s">
        <v>37</v>
      </c>
      <c r="D155" s="13" t="s">
        <v>229</v>
      </c>
      <c r="G155">
        <v>1212173.8200186319</v>
      </c>
      <c r="H155">
        <v>8561643.835616438</v>
      </c>
      <c r="I155" t="s">
        <v>37</v>
      </c>
    </row>
    <row r="157" ht="20.25">
      <c r="B157" s="72" t="s">
        <v>220</v>
      </c>
    </row>
    <row r="158" spans="2:4" ht="12.75">
      <c r="B158" s="74">
        <v>88250000</v>
      </c>
      <c r="C158" s="38" t="s">
        <v>217</v>
      </c>
      <c r="D158" s="75" t="s">
        <v>218</v>
      </c>
    </row>
    <row r="159" spans="2:4" ht="12.75">
      <c r="B159" s="83">
        <f>B153/(B158*1000000)</f>
        <v>1.6256511724004923</v>
      </c>
      <c r="C159" t="s">
        <v>41</v>
      </c>
      <c r="D159" t="s">
        <v>222</v>
      </c>
    </row>
    <row r="160" spans="2:3" ht="12.75">
      <c r="B160" s="8"/>
      <c r="C160" s="3"/>
    </row>
    <row r="161" spans="2:3" ht="20.25">
      <c r="B161" s="72" t="s">
        <v>227</v>
      </c>
      <c r="C161" s="3"/>
    </row>
    <row r="162" spans="2:4" ht="12.75">
      <c r="B162" s="34"/>
      <c r="C162" s="34"/>
      <c r="D162" s="43"/>
    </row>
    <row r="163" spans="2:4" ht="12.75">
      <c r="B163" s="85">
        <f>B21*1000</f>
        <v>248882741.5923822</v>
      </c>
      <c r="C163" s="34" t="s">
        <v>41</v>
      </c>
      <c r="D163" s="43" t="s">
        <v>215</v>
      </c>
    </row>
    <row r="164" spans="2:4" ht="12.75">
      <c r="B164" s="34">
        <f>B163*((E_liq_gas)+0.5*Vsp*Vsp/nozfact)</f>
        <v>1126134673847547.2</v>
      </c>
      <c r="C164" s="34" t="s">
        <v>173</v>
      </c>
      <c r="D164" s="43" t="s">
        <v>216</v>
      </c>
    </row>
    <row r="165" spans="2:4" ht="12.75">
      <c r="B165" s="83">
        <f>B164/(B158*1000000)</f>
        <v>12.760732848130846</v>
      </c>
      <c r="C165" s="12" t="s">
        <v>41</v>
      </c>
      <c r="D165" s="13" t="s">
        <v>219</v>
      </c>
    </row>
    <row r="166" spans="2:4" ht="12.75">
      <c r="B166" s="40"/>
      <c r="C166" s="34"/>
      <c r="D166" s="40"/>
    </row>
    <row r="167" ht="12.75">
      <c r="B167" s="3"/>
    </row>
    <row r="168" ht="12.75">
      <c r="B168" s="3"/>
    </row>
    <row r="170" spans="2:4" ht="20.25">
      <c r="B170" s="117" t="s">
        <v>294</v>
      </c>
      <c r="C170" s="12"/>
      <c r="D170" s="12"/>
    </row>
    <row r="171" spans="2:4" ht="12.75">
      <c r="B171" s="126">
        <f>minEnginePwr</f>
        <v>12142429872.713844</v>
      </c>
      <c r="C171" s="127" t="s">
        <v>37</v>
      </c>
      <c r="D171" s="127" t="s">
        <v>319</v>
      </c>
    </row>
    <row r="172" spans="2:4" ht="12.75">
      <c r="B172" s="128">
        <f>B139</f>
        <v>65285.74558811831</v>
      </c>
      <c r="C172" s="127" t="s">
        <v>8</v>
      </c>
      <c r="D172" s="127" t="s">
        <v>318</v>
      </c>
    </row>
    <row r="173" spans="2:4" ht="12.75">
      <c r="B173" s="129">
        <f>B20</f>
        <v>147.88827415923822</v>
      </c>
      <c r="C173" s="127" t="s">
        <v>8</v>
      </c>
      <c r="D173" s="127" t="s">
        <v>317</v>
      </c>
    </row>
    <row r="174" spans="2:4" ht="12.75">
      <c r="B174" s="64">
        <f>dV_1+dV_2+dV_3+dV_4</f>
        <v>2156.36</v>
      </c>
      <c r="C174" s="24" t="s">
        <v>43</v>
      </c>
      <c r="D174" s="20" t="s">
        <v>148</v>
      </c>
    </row>
    <row r="175" spans="1:4" ht="12.75">
      <c r="A175" s="33" t="s">
        <v>96</v>
      </c>
      <c r="B175" s="64">
        <f>EXP(B174/Vsp)-1</f>
        <v>2.183840196993672</v>
      </c>
      <c r="C175" s="24"/>
      <c r="D175" s="20" t="s">
        <v>149</v>
      </c>
    </row>
    <row r="176" spans="2:4" ht="12.75">
      <c r="B176" s="65">
        <f>B175*B173</f>
        <v>322.964357772965</v>
      </c>
      <c r="C176" s="12" t="s">
        <v>8</v>
      </c>
      <c r="D176" s="13" t="s">
        <v>150</v>
      </c>
    </row>
    <row r="177" spans="2:4" ht="12.75">
      <c r="B177" s="61"/>
      <c r="C177" s="12"/>
      <c r="D177" s="12"/>
    </row>
    <row r="178" spans="2:4" ht="12.75">
      <c r="B178" s="61" t="s">
        <v>151</v>
      </c>
      <c r="C178" s="12"/>
      <c r="D178" s="12"/>
    </row>
    <row r="179" spans="2:4" ht="12.75">
      <c r="B179" s="64">
        <f>B172-F11</f>
        <v>65285.74558811831</v>
      </c>
      <c r="C179" s="24" t="s">
        <v>8</v>
      </c>
      <c r="D179" s="20" t="s">
        <v>152</v>
      </c>
    </row>
    <row r="180" spans="2:4" ht="12.75">
      <c r="B180" s="65">
        <f>B179-B176</f>
        <v>64962.78123034535</v>
      </c>
      <c r="C180" s="12" t="s">
        <v>8</v>
      </c>
      <c r="D180" s="12" t="s">
        <v>153</v>
      </c>
    </row>
    <row r="181" ht="12.75">
      <c r="B181" s="3"/>
    </row>
    <row r="182" ht="12.75">
      <c r="B182" s="3"/>
    </row>
    <row r="183" ht="12.75">
      <c r="B183" s="3"/>
    </row>
    <row r="184" spans="2:4" ht="20.25">
      <c r="B184" s="62" t="s">
        <v>157</v>
      </c>
      <c r="C184" s="12"/>
      <c r="D184" s="12"/>
    </row>
    <row r="185" spans="1:10" ht="12.75">
      <c r="A185" s="33" t="s">
        <v>154</v>
      </c>
      <c r="B185" s="68">
        <v>800</v>
      </c>
      <c r="C185" s="23" t="s">
        <v>155</v>
      </c>
      <c r="D185" s="23" t="s">
        <v>156</v>
      </c>
      <c r="J185" s="16"/>
    </row>
    <row r="186" spans="1:4" ht="12.75">
      <c r="A186" s="33" t="s">
        <v>158</v>
      </c>
      <c r="B186" s="64">
        <v>1.55</v>
      </c>
      <c r="C186" s="24" t="s">
        <v>159</v>
      </c>
      <c r="D186" s="20" t="s">
        <v>160</v>
      </c>
    </row>
    <row r="187" spans="1:4" ht="12.75">
      <c r="A187" s="33" t="s">
        <v>161</v>
      </c>
      <c r="B187" s="64">
        <f>solar/rdeimos/rdeimos</f>
        <v>332.98647242455775</v>
      </c>
      <c r="C187" s="24" t="s">
        <v>155</v>
      </c>
      <c r="D187" s="20" t="s">
        <v>162</v>
      </c>
    </row>
    <row r="188" spans="2:4" ht="12.75">
      <c r="B188" s="64">
        <f>minSloPwr/solarDeimos</f>
        <v>14705819.025129594</v>
      </c>
      <c r="C188" s="24" t="s">
        <v>164</v>
      </c>
      <c r="D188" s="20" t="s">
        <v>165</v>
      </c>
    </row>
    <row r="189" spans="2:4" ht="12.75">
      <c r="B189" s="69">
        <f>B188/B172</f>
        <v>225.25313745985588</v>
      </c>
      <c r="C189" s="25" t="s">
        <v>167</v>
      </c>
      <c r="D189" s="23" t="s">
        <v>166</v>
      </c>
    </row>
    <row r="190" spans="2:4" ht="12.75">
      <c r="B190" s="19"/>
      <c r="C190" s="19"/>
      <c r="D190" s="16"/>
    </row>
    <row r="194" spans="2:4" ht="20.25">
      <c r="B194" s="62" t="s">
        <v>181</v>
      </c>
      <c r="C194" s="12"/>
      <c r="D194" s="12"/>
    </row>
    <row r="195" spans="2:4" ht="20.25">
      <c r="B195" s="62" t="s">
        <v>182</v>
      </c>
      <c r="C195" s="12"/>
      <c r="D195" s="12"/>
    </row>
    <row r="196" spans="2:4" ht="25.5">
      <c r="B196" s="57">
        <f>B20</f>
        <v>147.88827415923822</v>
      </c>
      <c r="C196" s="20" t="s">
        <v>8</v>
      </c>
      <c r="D196" s="26" t="s">
        <v>295</v>
      </c>
    </row>
    <row r="197" spans="1:4" ht="25.5">
      <c r="A197" s="33" t="s">
        <v>178</v>
      </c>
      <c r="B197" s="57">
        <f>UpDeltaV</f>
        <v>2819.119664393395</v>
      </c>
      <c r="C197" s="20" t="s">
        <v>43</v>
      </c>
      <c r="D197" s="26" t="s">
        <v>309</v>
      </c>
    </row>
    <row r="198" spans="1:4" ht="25.5">
      <c r="A198" s="33" t="s">
        <v>179</v>
      </c>
      <c r="B198" s="57">
        <f>dV_4</f>
        <v>501.36</v>
      </c>
      <c r="C198" s="20" t="s">
        <v>43</v>
      </c>
      <c r="D198" s="26" t="s">
        <v>310</v>
      </c>
    </row>
    <row r="199" spans="1:4" ht="25.5">
      <c r="A199" s="33" t="s">
        <v>116</v>
      </c>
      <c r="B199" s="57">
        <f>dV_3</f>
        <v>853</v>
      </c>
      <c r="C199" s="20" t="s">
        <v>43</v>
      </c>
      <c r="D199" s="26" t="s">
        <v>311</v>
      </c>
    </row>
    <row r="200" spans="1:4" ht="25.5">
      <c r="A200" s="33" t="s">
        <v>115</v>
      </c>
      <c r="B200" s="57">
        <f>dV_2</f>
        <v>305</v>
      </c>
      <c r="C200" s="20" t="s">
        <v>43</v>
      </c>
      <c r="D200" s="26" t="s">
        <v>312</v>
      </c>
    </row>
    <row r="201" spans="1:4" ht="12.75">
      <c r="A201" s="33" t="s">
        <v>118</v>
      </c>
      <c r="B201" s="57">
        <f>dV_1</f>
        <v>497</v>
      </c>
      <c r="C201" s="20" t="s">
        <v>43</v>
      </c>
      <c r="D201" s="26" t="s">
        <v>313</v>
      </c>
    </row>
    <row r="202" spans="2:4" ht="12.75">
      <c r="B202" s="61"/>
      <c r="C202" s="12"/>
      <c r="D202" s="27"/>
    </row>
    <row r="203" spans="2:4" ht="12.75">
      <c r="B203" s="63">
        <f>SUM(B197:B201)</f>
        <v>4975.479664393395</v>
      </c>
      <c r="C203" s="28" t="s">
        <v>43</v>
      </c>
      <c r="D203" s="29" t="s">
        <v>180</v>
      </c>
    </row>
    <row r="204" spans="1:4" ht="12.75">
      <c r="A204" s="33" t="s">
        <v>96</v>
      </c>
      <c r="B204" s="61">
        <f>EXP(B203/Vsp)-1</f>
        <v>13.470553971593047</v>
      </c>
      <c r="C204" s="12"/>
      <c r="D204" s="27" t="s">
        <v>308</v>
      </c>
    </row>
    <row r="205" spans="2:4" ht="12.75">
      <c r="B205" s="63">
        <f>B204*B196</f>
        <v>1992.1369788277677</v>
      </c>
      <c r="C205" s="28" t="s">
        <v>8</v>
      </c>
      <c r="D205" s="27" t="s">
        <v>320</v>
      </c>
    </row>
    <row r="207" ht="25.5">
      <c r="D207" s="91" t="s">
        <v>184</v>
      </c>
    </row>
    <row r="208" ht="12.75">
      <c r="D208" s="91" t="s">
        <v>185</v>
      </c>
    </row>
    <row r="210" spans="2:4" ht="20.25">
      <c r="B210" s="62" t="s">
        <v>202</v>
      </c>
      <c r="C210" s="12"/>
      <c r="D210" s="12"/>
    </row>
    <row r="211" spans="2:4" ht="12.75">
      <c r="B211" s="61">
        <f>B205</f>
        <v>1992.1369788277677</v>
      </c>
      <c r="C211" s="20" t="s">
        <v>8</v>
      </c>
      <c r="D211" s="26" t="s">
        <v>315</v>
      </c>
    </row>
    <row r="212" spans="1:4" ht="25.5">
      <c r="A212" s="33" t="s">
        <v>297</v>
      </c>
      <c r="B212" s="61">
        <f>bareship</f>
        <v>147.88827415923822</v>
      </c>
      <c r="C212" s="20" t="s">
        <v>8</v>
      </c>
      <c r="D212" s="26" t="s">
        <v>295</v>
      </c>
    </row>
    <row r="213" spans="2:4" ht="12.75">
      <c r="B213" s="34"/>
      <c r="C213" s="34"/>
      <c r="D213" s="43"/>
    </row>
    <row r="214" spans="2:4" ht="12.75">
      <c r="B214" s="34"/>
      <c r="C214" s="34"/>
      <c r="D214" s="43" t="s">
        <v>204</v>
      </c>
    </row>
    <row r="215" spans="1:4" ht="12.75">
      <c r="A215" s="33" t="s">
        <v>178</v>
      </c>
      <c r="B215" s="34">
        <f>UpDeltaV</f>
        <v>2819.119664393395</v>
      </c>
      <c r="C215" s="34" t="s">
        <v>43</v>
      </c>
      <c r="D215" s="43" t="s">
        <v>314</v>
      </c>
    </row>
    <row r="216" spans="1:4" ht="12.75">
      <c r="A216" s="33" t="s">
        <v>96</v>
      </c>
      <c r="B216" s="34">
        <f>1-EXP(-B215/Vsp)</f>
        <v>0.7799780020002118</v>
      </c>
      <c r="C216" s="34"/>
      <c r="D216" s="43" t="s">
        <v>195</v>
      </c>
    </row>
    <row r="217" spans="2:4" ht="12.75">
      <c r="B217" s="34">
        <f>(B212+B211)*B216</f>
        <v>1669.1726210548027</v>
      </c>
      <c r="C217" s="34" t="s">
        <v>194</v>
      </c>
      <c r="D217" s="43" t="s">
        <v>196</v>
      </c>
    </row>
    <row r="218" spans="2:4" ht="12.75">
      <c r="B218" s="34">
        <f>B211-B217</f>
        <v>322.96435777296506</v>
      </c>
      <c r="C218" s="34" t="s">
        <v>187</v>
      </c>
      <c r="D218" s="43" t="s">
        <v>188</v>
      </c>
    </row>
    <row r="219" spans="2:4" ht="12.75">
      <c r="B219" s="34">
        <f>B218+B212</f>
        <v>470.8526319322033</v>
      </c>
      <c r="C219" s="34" t="s">
        <v>189</v>
      </c>
      <c r="D219" s="43" t="s">
        <v>190</v>
      </c>
    </row>
    <row r="220" spans="2:4" ht="12.75">
      <c r="B220" s="34"/>
      <c r="C220" s="34"/>
      <c r="D220" s="43"/>
    </row>
    <row r="221" spans="2:4" ht="12.75">
      <c r="B221" s="34"/>
      <c r="C221" s="34"/>
      <c r="D221" s="43" t="s">
        <v>203</v>
      </c>
    </row>
    <row r="222" spans="2:4" ht="12.75">
      <c r="B222" s="34">
        <f>B219</f>
        <v>470.8526319322033</v>
      </c>
      <c r="C222" s="34" t="s">
        <v>187</v>
      </c>
      <c r="D222" s="43" t="s">
        <v>190</v>
      </c>
    </row>
    <row r="223" spans="2:4" ht="12.75">
      <c r="B223" s="34">
        <f>B203-B215</f>
        <v>2156.36</v>
      </c>
      <c r="C223" s="34" t="s">
        <v>43</v>
      </c>
      <c r="D223" s="43" t="s">
        <v>191</v>
      </c>
    </row>
    <row r="224" spans="2:4" ht="12.75">
      <c r="B224" s="34">
        <f>B198</f>
        <v>501.36</v>
      </c>
      <c r="C224" s="34" t="s">
        <v>43</v>
      </c>
      <c r="D224" s="43" t="s">
        <v>192</v>
      </c>
    </row>
    <row r="225" spans="1:4" ht="12.75">
      <c r="A225" s="33" t="s">
        <v>96</v>
      </c>
      <c r="B225" s="34">
        <f>1-EXP(-B224/Vsp)</f>
        <v>0.2360545259746769</v>
      </c>
      <c r="C225" s="34"/>
      <c r="D225" s="43" t="s">
        <v>186</v>
      </c>
    </row>
    <row r="226" spans="2:4" ht="12.75">
      <c r="B226" s="40">
        <f>B225*(B222)</f>
        <v>111.14689483468527</v>
      </c>
      <c r="C226" s="40" t="s">
        <v>8</v>
      </c>
      <c r="D226" s="45" t="s">
        <v>193</v>
      </c>
    </row>
    <row r="227" spans="2:4" ht="12.75">
      <c r="B227" s="34"/>
      <c r="C227" s="34"/>
      <c r="D227" s="43"/>
    </row>
    <row r="228" spans="2:4" ht="12.75">
      <c r="B228" s="34">
        <f>B226</f>
        <v>111.14689483468527</v>
      </c>
      <c r="C228" s="34" t="s">
        <v>8</v>
      </c>
      <c r="D228" s="43" t="s">
        <v>197</v>
      </c>
    </row>
    <row r="229" spans="2:4" ht="15.75">
      <c r="B229" s="70">
        <v>1</v>
      </c>
      <c r="C229" s="46" t="s">
        <v>198</v>
      </c>
      <c r="D229" s="47" t="s">
        <v>199</v>
      </c>
    </row>
    <row r="230" spans="2:4" ht="12.75">
      <c r="B230" s="34">
        <f>B228*1000</f>
        <v>111146.89483468527</v>
      </c>
      <c r="C230" s="34" t="s">
        <v>41</v>
      </c>
      <c r="D230" s="43" t="s">
        <v>200</v>
      </c>
    </row>
    <row r="231" spans="2:4" ht="38.25">
      <c r="B231" s="34">
        <f>B230*(E_liq_gas+0.5*Vsp*Vsp/nozfact)</f>
        <v>502913023872.19055</v>
      </c>
      <c r="C231" s="34" t="s">
        <v>201</v>
      </c>
      <c r="D231" s="125" t="s">
        <v>316</v>
      </c>
    </row>
    <row r="232" spans="2:4" ht="26.25">
      <c r="B232" s="71">
        <f>B231/B229/3600</f>
        <v>139698062.1867196</v>
      </c>
      <c r="C232" s="13" t="s">
        <v>37</v>
      </c>
      <c r="D232" s="11" t="s">
        <v>235</v>
      </c>
    </row>
    <row r="233" spans="2:4" ht="15">
      <c r="B233" s="30"/>
      <c r="C233" s="30"/>
      <c r="D233" s="30"/>
    </row>
    <row r="234" spans="2:4" ht="15">
      <c r="B234" s="30"/>
      <c r="C234" s="30"/>
      <c r="D234" s="31"/>
    </row>
    <row r="235" spans="2:4" ht="20.25">
      <c r="B235" s="62" t="s">
        <v>238</v>
      </c>
      <c r="C235" s="30"/>
      <c r="D235" s="32"/>
    </row>
    <row r="236" spans="1:4" ht="12.75">
      <c r="A236" s="94"/>
      <c r="B236" s="124" t="s">
        <v>239</v>
      </c>
      <c r="C236" s="24"/>
      <c r="D236" s="96" t="s">
        <v>361</v>
      </c>
    </row>
    <row r="237" spans="1:4" ht="22.5">
      <c r="A237" s="97"/>
      <c r="B237" s="98" t="s">
        <v>360</v>
      </c>
      <c r="C237" s="147"/>
      <c r="D237" s="96"/>
    </row>
    <row r="238" spans="1:4" ht="12.75">
      <c r="A238" s="97" t="s">
        <v>240</v>
      </c>
      <c r="B238" s="99">
        <v>300000</v>
      </c>
      <c r="C238" s="100" t="s">
        <v>241</v>
      </c>
      <c r="D238" s="101" t="s">
        <v>242</v>
      </c>
    </row>
    <row r="239" spans="1:4" ht="12.75">
      <c r="A239" s="97" t="s">
        <v>243</v>
      </c>
      <c r="B239" s="99">
        <v>214000</v>
      </c>
      <c r="C239" s="100" t="s">
        <v>244</v>
      </c>
      <c r="D239" s="96" t="s">
        <v>245</v>
      </c>
    </row>
    <row r="240" spans="1:4" ht="33.75">
      <c r="A240" s="97" t="s">
        <v>246</v>
      </c>
      <c r="B240" s="99">
        <v>0.92</v>
      </c>
      <c r="C240" s="100" t="s">
        <v>247</v>
      </c>
      <c r="D240" s="96" t="s">
        <v>248</v>
      </c>
    </row>
    <row r="241" spans="1:4" ht="12.75">
      <c r="A241" s="97" t="s">
        <v>249</v>
      </c>
      <c r="B241" s="99">
        <v>0.1</v>
      </c>
      <c r="C241" s="100" t="s">
        <v>244</v>
      </c>
      <c r="D241" s="96" t="s">
        <v>250</v>
      </c>
    </row>
    <row r="242" spans="1:4" ht="22.5">
      <c r="A242" s="97" t="s">
        <v>251</v>
      </c>
      <c r="B242" s="99">
        <v>1.5</v>
      </c>
      <c r="C242" s="100" t="s">
        <v>252</v>
      </c>
      <c r="D242" s="96" t="s">
        <v>253</v>
      </c>
    </row>
    <row r="243" spans="1:4" ht="22.5">
      <c r="A243" s="97" t="s">
        <v>254</v>
      </c>
      <c r="B243" s="99">
        <v>3</v>
      </c>
      <c r="C243" s="100" t="s">
        <v>138</v>
      </c>
      <c r="D243" s="96" t="s">
        <v>255</v>
      </c>
    </row>
    <row r="244" spans="1:4" ht="22.5">
      <c r="A244" s="97" t="s">
        <v>256</v>
      </c>
      <c r="B244" s="103">
        <v>0.005214814104384614</v>
      </c>
      <c r="C244" s="100" t="s">
        <v>257</v>
      </c>
      <c r="D244" s="96" t="s">
        <v>258</v>
      </c>
    </row>
    <row r="245" spans="1:4" ht="22.5">
      <c r="A245" s="97" t="s">
        <v>259</v>
      </c>
      <c r="B245" s="99">
        <v>0.01</v>
      </c>
      <c r="C245" s="100" t="s">
        <v>257</v>
      </c>
      <c r="D245" s="96" t="s">
        <v>260</v>
      </c>
    </row>
    <row r="246" spans="1:4" ht="12.75">
      <c r="A246" s="97" t="s">
        <v>261</v>
      </c>
      <c r="B246" s="99">
        <v>0.005</v>
      </c>
      <c r="C246" s="100" t="s">
        <v>262</v>
      </c>
      <c r="D246" s="96" t="s">
        <v>263</v>
      </c>
    </row>
    <row r="247" spans="1:4" ht="12.75">
      <c r="A247" s="104" t="s">
        <v>264</v>
      </c>
      <c r="B247" s="105">
        <v>5000</v>
      </c>
      <c r="C247" s="106" t="s">
        <v>265</v>
      </c>
      <c r="D247" s="107" t="s">
        <v>266</v>
      </c>
    </row>
    <row r="248" spans="1:4" ht="12.75">
      <c r="A248" s="108"/>
      <c r="B248" s="109"/>
      <c r="C248" s="100"/>
      <c r="D248" s="96"/>
    </row>
    <row r="249" spans="1:4" ht="12.75">
      <c r="A249" s="148"/>
      <c r="B249" s="110" t="s">
        <v>267</v>
      </c>
      <c r="C249" s="95"/>
      <c r="D249" s="101"/>
    </row>
    <row r="250" spans="1:4" ht="22.5">
      <c r="A250" s="111" t="s">
        <v>268</v>
      </c>
      <c r="B250" s="93">
        <v>3.6742039561675836E-05</v>
      </c>
      <c r="C250" s="102" t="s">
        <v>269</v>
      </c>
      <c r="D250" s="112" t="s">
        <v>270</v>
      </c>
    </row>
    <row r="251" spans="1:4" ht="22.5">
      <c r="A251" s="111" t="s">
        <v>271</v>
      </c>
      <c r="B251" s="113">
        <v>0.014872579579203592</v>
      </c>
      <c r="C251" s="102" t="s">
        <v>262</v>
      </c>
      <c r="D251" s="112" t="s">
        <v>272</v>
      </c>
    </row>
    <row r="252" spans="1:4" ht="12.75">
      <c r="A252" s="111" t="s">
        <v>273</v>
      </c>
      <c r="B252" s="114">
        <v>11022.61186850275</v>
      </c>
      <c r="C252" s="102" t="s">
        <v>41</v>
      </c>
      <c r="D252" s="112" t="s">
        <v>274</v>
      </c>
    </row>
    <row r="253" spans="1:4" ht="22.5">
      <c r="A253" s="111" t="s">
        <v>275</v>
      </c>
      <c r="B253" s="114">
        <v>27216.779795835297</v>
      </c>
      <c r="C253" s="102" t="s">
        <v>276</v>
      </c>
      <c r="D253" s="112" t="s">
        <v>277</v>
      </c>
    </row>
    <row r="254" spans="1:4" ht="12.75">
      <c r="A254" s="111" t="s">
        <v>278</v>
      </c>
      <c r="B254" s="103">
        <v>326086.95652173914</v>
      </c>
      <c r="C254" s="102" t="s">
        <v>279</v>
      </c>
      <c r="D254" s="112" t="s">
        <v>280</v>
      </c>
    </row>
    <row r="255" spans="1:4" ht="12.75">
      <c r="A255" s="111" t="s">
        <v>281</v>
      </c>
      <c r="B255" s="103">
        <v>85.39741837558651</v>
      </c>
      <c r="C255" s="102" t="s">
        <v>282</v>
      </c>
      <c r="D255" s="112" t="s">
        <v>283</v>
      </c>
    </row>
    <row r="256" spans="1:4" ht="12.75">
      <c r="A256" s="94"/>
      <c r="B256" s="115"/>
      <c r="C256" s="95"/>
      <c r="D256" s="116" t="s">
        <v>284</v>
      </c>
    </row>
    <row r="257" spans="1:4" ht="12.75">
      <c r="A257" s="111" t="s">
        <v>285</v>
      </c>
      <c r="B257" s="103">
        <v>8965.694477050547</v>
      </c>
      <c r="C257" s="102" t="s">
        <v>169</v>
      </c>
      <c r="D257" s="112" t="s">
        <v>286</v>
      </c>
    </row>
    <row r="258" spans="1:4" ht="22.5">
      <c r="A258" s="111" t="s">
        <v>287</v>
      </c>
      <c r="B258" s="103">
        <v>0.0136942747796311</v>
      </c>
      <c r="C258" s="102" t="s">
        <v>262</v>
      </c>
      <c r="D258" s="112" t="s">
        <v>288</v>
      </c>
    </row>
    <row r="259" spans="1:4" ht="12.75">
      <c r="A259" s="111" t="s">
        <v>289</v>
      </c>
      <c r="B259" s="103">
        <v>2056.9173914522034</v>
      </c>
      <c r="C259" s="102" t="s">
        <v>41</v>
      </c>
      <c r="D259" s="112" t="s">
        <v>290</v>
      </c>
    </row>
    <row r="260" spans="1:4" ht="22.5">
      <c r="A260" s="111" t="s">
        <v>291</v>
      </c>
      <c r="B260" s="103">
        <v>0.001178304799572491</v>
      </c>
      <c r="C260" s="102" t="s">
        <v>262</v>
      </c>
      <c r="D260" s="112" t="s">
        <v>292</v>
      </c>
    </row>
    <row r="261" ht="12.75">
      <c r="A261"/>
    </row>
    <row r="262" ht="12.75">
      <c r="A26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68">
      <pane ySplit="2550" topLeftCell="BM1" activePane="bottomLeft" state="split"/>
      <selection pane="topLeft" activeCell="D66" sqref="D66"/>
      <selection pane="bottomLeft" activeCell="D19" sqref="D19"/>
    </sheetView>
  </sheetViews>
  <sheetFormatPr defaultColWidth="9.140625" defaultRowHeight="12.75"/>
  <cols>
    <col min="4" max="4" width="18.421875" style="0" customWidth="1"/>
    <col min="5" max="5" width="36.421875" style="0" customWidth="1"/>
    <col min="6" max="6" width="16.28125" style="0" customWidth="1"/>
  </cols>
  <sheetData>
    <row r="1" ht="12.75">
      <c r="A1" t="s">
        <v>0</v>
      </c>
    </row>
    <row r="4" spans="3:5" ht="12.75">
      <c r="C4" t="s">
        <v>1</v>
      </c>
      <c r="D4">
        <v>1</v>
      </c>
      <c r="E4" t="s">
        <v>2</v>
      </c>
    </row>
    <row r="5" spans="3:5" ht="12.75">
      <c r="C5" t="s">
        <v>7</v>
      </c>
      <c r="D5">
        <v>100</v>
      </c>
      <c r="E5" t="s">
        <v>8</v>
      </c>
    </row>
    <row r="6" spans="4:5" ht="12.75">
      <c r="D6">
        <f>Au*troy_ton</f>
        <v>32150.7</v>
      </c>
      <c r="E6" t="s">
        <v>6</v>
      </c>
    </row>
    <row r="7" ht="12.75">
      <c r="D7" s="2">
        <f>D6*payload</f>
        <v>3215070</v>
      </c>
    </row>
    <row r="9" spans="3:5" ht="12.75">
      <c r="C9" t="s">
        <v>5</v>
      </c>
      <c r="D9" s="1">
        <v>32150.7</v>
      </c>
      <c r="E9" t="s">
        <v>4</v>
      </c>
    </row>
    <row r="10" spans="4:5" ht="12.75">
      <c r="D10">
        <v>14.58</v>
      </c>
      <c r="E10" t="s">
        <v>3</v>
      </c>
    </row>
    <row r="13" spans="3:5" ht="12.75">
      <c r="C13" t="s">
        <v>15</v>
      </c>
      <c r="D13">
        <v>15</v>
      </c>
      <c r="E13" t="s">
        <v>10</v>
      </c>
    </row>
    <row r="14" spans="3:5" ht="12.75">
      <c r="C14" t="s">
        <v>16</v>
      </c>
      <c r="D14">
        <v>5</v>
      </c>
      <c r="E14" t="s">
        <v>9</v>
      </c>
    </row>
    <row r="15" spans="4:5" ht="12.75">
      <c r="D15" s="2">
        <f>D14*1000000/(15*2200)</f>
        <v>151.5151515151515</v>
      </c>
      <c r="E15" t="s">
        <v>11</v>
      </c>
    </row>
    <row r="16" spans="4:5" ht="12.75">
      <c r="D16" s="2">
        <f>D15/D10</f>
        <v>10.391985700627675</v>
      </c>
      <c r="E16" t="s">
        <v>12</v>
      </c>
    </row>
    <row r="17" spans="3:5" ht="12.75">
      <c r="C17" t="s">
        <v>14</v>
      </c>
      <c r="D17">
        <v>5000</v>
      </c>
      <c r="E17" t="s">
        <v>13</v>
      </c>
    </row>
    <row r="18" spans="3:5" ht="12.75">
      <c r="C18" t="s">
        <v>17</v>
      </c>
      <c r="D18" s="2">
        <f>h_2_o_payload*sellingprice/propellant</f>
        <v>1666.6666666666667</v>
      </c>
      <c r="E18" t="s">
        <v>18</v>
      </c>
    </row>
    <row r="20" spans="3:11" ht="12.75">
      <c r="C20" t="s">
        <v>19</v>
      </c>
      <c r="D20">
        <v>0.1</v>
      </c>
      <c r="E20" t="s">
        <v>25</v>
      </c>
      <c r="H20" s="3" t="s">
        <v>19</v>
      </c>
      <c r="I20" s="3">
        <v>0.2</v>
      </c>
      <c r="J20" s="3" t="s">
        <v>25</v>
      </c>
      <c r="K20" s="3"/>
    </row>
    <row r="21" spans="3:11" ht="12.75">
      <c r="C21" s="3" t="s">
        <v>21</v>
      </c>
      <c r="D21" s="3">
        <f>time*3600*gees</f>
        <v>3600</v>
      </c>
      <c r="E21" s="3" t="s">
        <v>26</v>
      </c>
      <c r="H21" s="3" t="s">
        <v>21</v>
      </c>
      <c r="I21" s="3">
        <v>4320</v>
      </c>
      <c r="J21" s="3" t="s">
        <v>26</v>
      </c>
      <c r="K21" s="3"/>
    </row>
    <row r="22" spans="3:11" ht="12.75">
      <c r="C22" s="4" t="s">
        <v>35</v>
      </c>
      <c r="D22" s="3">
        <v>400</v>
      </c>
      <c r="E22" s="3" t="s">
        <v>36</v>
      </c>
      <c r="H22" s="3"/>
      <c r="I22" s="3"/>
      <c r="J22" s="3"/>
      <c r="K22" s="3"/>
    </row>
    <row r="23" spans="3:5" ht="12.75">
      <c r="C23" t="s">
        <v>22</v>
      </c>
      <c r="D23">
        <v>9.8</v>
      </c>
      <c r="E23" t="s">
        <v>23</v>
      </c>
    </row>
    <row r="24" spans="2:5" ht="51">
      <c r="B24" t="s">
        <v>38</v>
      </c>
      <c r="E24" s="7" t="s">
        <v>45</v>
      </c>
    </row>
    <row r="25" spans="3:5" ht="12.75">
      <c r="C25" s="4" t="s">
        <v>39</v>
      </c>
      <c r="D25" s="3">
        <v>1500</v>
      </c>
      <c r="E25" s="7" t="s">
        <v>40</v>
      </c>
    </row>
    <row r="26" spans="4:5" ht="12.75">
      <c r="D26" s="5"/>
      <c r="E26" s="6" t="s">
        <v>41</v>
      </c>
    </row>
    <row r="28" spans="3:5" ht="12.75">
      <c r="C28" s="3" t="s">
        <v>42</v>
      </c>
      <c r="D28" s="8">
        <v>400</v>
      </c>
      <c r="E28" s="7" t="s">
        <v>43</v>
      </c>
    </row>
    <row r="30" spans="3:5" ht="12.75">
      <c r="C30" s="9" t="s">
        <v>44</v>
      </c>
      <c r="D30" s="10">
        <f>5000*1.77</f>
        <v>8850</v>
      </c>
      <c r="E30" s="11" t="s">
        <v>8</v>
      </c>
    </row>
    <row r="31" spans="3:11" ht="12.75">
      <c r="C31" s="12" t="s">
        <v>20</v>
      </c>
      <c r="D31" s="12">
        <v>10</v>
      </c>
      <c r="E31" s="12" t="s">
        <v>24</v>
      </c>
      <c r="H31" s="3" t="s">
        <v>20</v>
      </c>
      <c r="I31" s="3">
        <v>6</v>
      </c>
      <c r="J31" s="3" t="s">
        <v>24</v>
      </c>
      <c r="K31" s="3"/>
    </row>
    <row r="32" spans="3:5" ht="12.75">
      <c r="C32" s="12" t="s">
        <v>30</v>
      </c>
      <c r="D32" s="12">
        <v>190</v>
      </c>
      <c r="E32" s="12" t="s">
        <v>28</v>
      </c>
    </row>
    <row r="33" spans="3:5" ht="12.75">
      <c r="C33" s="12" t="s">
        <v>29</v>
      </c>
      <c r="D33" s="12">
        <f>propIsp*gee</f>
        <v>1862.0000000000002</v>
      </c>
      <c r="E33" s="12"/>
    </row>
    <row r="34" spans="3:5" ht="12.75">
      <c r="C34" s="12" t="s">
        <v>32</v>
      </c>
      <c r="D34" s="12">
        <f>0.5*capturemass*1000*provVsp*provVsp/0.95</f>
        <v>16149126000000.004</v>
      </c>
      <c r="E34" s="12" t="s">
        <v>33</v>
      </c>
    </row>
    <row r="35" spans="3:5" ht="12.75">
      <c r="C35" s="13" t="s">
        <v>34</v>
      </c>
      <c r="D35" s="10">
        <f>D34/(time*3600)</f>
        <v>448586833.33333343</v>
      </c>
      <c r="E35" s="13" t="s">
        <v>37</v>
      </c>
    </row>
    <row r="38" spans="3:5" ht="12.75">
      <c r="C38" t="s">
        <v>27</v>
      </c>
      <c r="D38">
        <v>25000</v>
      </c>
      <c r="E38" t="s">
        <v>31</v>
      </c>
    </row>
    <row r="40" ht="15">
      <c r="E40" s="14" t="s">
        <v>51</v>
      </c>
    </row>
    <row r="41" spans="4:5" ht="12.75">
      <c r="D41" s="12">
        <v>450</v>
      </c>
      <c r="E41" s="12" t="s">
        <v>46</v>
      </c>
    </row>
    <row r="42" spans="4:5" ht="12.75">
      <c r="D42" s="12">
        <v>0.8</v>
      </c>
      <c r="E42" s="12" t="s">
        <v>47</v>
      </c>
    </row>
    <row r="43" spans="4:5" ht="12.75">
      <c r="D43" s="12">
        <f>D41/0.8</f>
        <v>562.5</v>
      </c>
      <c r="E43" s="12" t="s">
        <v>48</v>
      </c>
    </row>
    <row r="44" spans="4:5" ht="12.75">
      <c r="D44" s="12">
        <f>1.55*1.55*D43</f>
        <v>1351.4062500000002</v>
      </c>
      <c r="E44" s="12" t="s">
        <v>49</v>
      </c>
    </row>
    <row r="45" spans="4:5" ht="12.75">
      <c r="D45" s="12">
        <f>SQRT(D44)</f>
        <v>36.76147779945741</v>
      </c>
      <c r="E45" s="12" t="s">
        <v>50</v>
      </c>
    </row>
    <row r="48" spans="4:5" ht="12.75">
      <c r="D48" s="12">
        <f>450/5</f>
        <v>90</v>
      </c>
      <c r="E48" s="12" t="s">
        <v>46</v>
      </c>
    </row>
    <row r="49" spans="4:5" ht="12.75">
      <c r="D49" s="12">
        <v>0.8</v>
      </c>
      <c r="E49" s="12" t="s">
        <v>47</v>
      </c>
    </row>
    <row r="50" spans="4:5" ht="12.75">
      <c r="D50" s="12">
        <f>D48/0.8</f>
        <v>112.5</v>
      </c>
      <c r="E50" s="12" t="s">
        <v>48</v>
      </c>
    </row>
    <row r="51" spans="4:5" ht="12.75">
      <c r="D51" s="12">
        <f>1.55*1.55*D50</f>
        <v>270.28125000000006</v>
      </c>
      <c r="E51" s="12" t="s">
        <v>49</v>
      </c>
    </row>
    <row r="52" spans="4:5" ht="12.75">
      <c r="D52" s="12">
        <f>SQRT(D51)</f>
        <v>16.44023266258723</v>
      </c>
      <c r="E52" s="12" t="s">
        <v>50</v>
      </c>
    </row>
    <row r="54" spans="4:5" ht="12.75">
      <c r="D54" s="15"/>
      <c r="E54" s="15"/>
    </row>
    <row r="55" spans="4:5" ht="12.75">
      <c r="D55" s="3">
        <v>3.2</v>
      </c>
      <c r="E55" s="3" t="s">
        <v>52</v>
      </c>
    </row>
    <row r="56" spans="4:5" ht="12.75">
      <c r="D56" s="3">
        <v>0.01</v>
      </c>
      <c r="E56" s="3" t="s">
        <v>56</v>
      </c>
    </row>
    <row r="57" spans="4:5" ht="12.75">
      <c r="D57" s="3">
        <v>0.001</v>
      </c>
      <c r="E57" s="3" t="s">
        <v>57</v>
      </c>
    </row>
    <row r="58" spans="4:5" ht="12.75">
      <c r="D58" s="3">
        <v>5000</v>
      </c>
      <c r="E58" s="3" t="s">
        <v>53</v>
      </c>
    </row>
    <row r="59" spans="4:5" ht="12.75">
      <c r="D59" s="3">
        <v>198</v>
      </c>
      <c r="E59" s="3" t="s">
        <v>62</v>
      </c>
    </row>
    <row r="60" spans="4:5" ht="12.75">
      <c r="D60" s="3">
        <v>497</v>
      </c>
      <c r="E60" s="3" t="s">
        <v>59</v>
      </c>
    </row>
    <row r="61" spans="4:5" ht="12.75">
      <c r="D61" s="3">
        <v>305</v>
      </c>
      <c r="E61" s="3" t="s">
        <v>60</v>
      </c>
    </row>
    <row r="62" spans="4:5" ht="12.75">
      <c r="D62" s="3">
        <v>853</v>
      </c>
      <c r="E62" s="3" t="s">
        <v>69</v>
      </c>
    </row>
    <row r="63" spans="4:5" ht="12.75">
      <c r="D63" s="3">
        <v>50</v>
      </c>
      <c r="E63" s="3" t="s">
        <v>70</v>
      </c>
    </row>
    <row r="64" spans="4:5" ht="12.75">
      <c r="D64" s="3">
        <v>10</v>
      </c>
      <c r="E64" s="3" t="s">
        <v>79</v>
      </c>
    </row>
    <row r="65" spans="4:5" ht="12.75">
      <c r="D65" s="3">
        <v>0.95</v>
      </c>
      <c r="E65" s="3" t="s">
        <v>82</v>
      </c>
    </row>
    <row r="68" ht="12.75">
      <c r="E68" s="3" t="s">
        <v>71</v>
      </c>
    </row>
    <row r="69" spans="4:5" ht="12.75">
      <c r="D69">
        <f>D58*D55</f>
        <v>16000</v>
      </c>
      <c r="E69" t="s">
        <v>54</v>
      </c>
    </row>
    <row r="70" spans="4:5" ht="12.75">
      <c r="D70">
        <f>D69*D56</f>
        <v>160</v>
      </c>
      <c r="E70" t="s">
        <v>55</v>
      </c>
    </row>
    <row r="71" spans="4:5" ht="12.75">
      <c r="D71">
        <f>D69*D57</f>
        <v>16</v>
      </c>
      <c r="E71" t="s">
        <v>58</v>
      </c>
    </row>
    <row r="72" spans="4:5" ht="12.75">
      <c r="D72">
        <f>D59*9.8</f>
        <v>1940.4</v>
      </c>
      <c r="E72" t="s">
        <v>63</v>
      </c>
    </row>
    <row r="73" spans="4:5" ht="12.75">
      <c r="D73">
        <f>D69*(1+D56)+5000</f>
        <v>21160</v>
      </c>
      <c r="E73" t="s">
        <v>66</v>
      </c>
    </row>
    <row r="75" ht="12.75">
      <c r="E75" s="3" t="s">
        <v>72</v>
      </c>
    </row>
    <row r="76" spans="4:5" ht="12.75">
      <c r="D76">
        <f>D60+D61</f>
        <v>802</v>
      </c>
      <c r="E76" t="s">
        <v>61</v>
      </c>
    </row>
    <row r="77" spans="4:5" ht="12.75">
      <c r="D77">
        <f>D76/D72</f>
        <v>0.41331684188827045</v>
      </c>
      <c r="E77" t="s">
        <v>64</v>
      </c>
    </row>
    <row r="78" spans="4:5" ht="12.75">
      <c r="D78">
        <f>1-EXP(-D77)</f>
        <v>0.33854732629101214</v>
      </c>
      <c r="E78" t="s">
        <v>65</v>
      </c>
    </row>
    <row r="79" spans="4:5" ht="12.75">
      <c r="D79">
        <f>D78*D73</f>
        <v>7163.661424317816</v>
      </c>
      <c r="E79" t="s">
        <v>67</v>
      </c>
    </row>
    <row r="81" ht="12.75">
      <c r="E81" s="3" t="s">
        <v>73</v>
      </c>
    </row>
    <row r="82" spans="4:5" ht="12.75">
      <c r="D82">
        <f>D73-D79</f>
        <v>13996.338575682184</v>
      </c>
      <c r="E82" t="s">
        <v>68</v>
      </c>
    </row>
    <row r="83" spans="4:5" ht="12.75">
      <c r="D83">
        <f>D62*(1+D63/100)</f>
        <v>1279.5</v>
      </c>
      <c r="E83" t="s">
        <v>74</v>
      </c>
    </row>
    <row r="84" spans="4:5" ht="12.75">
      <c r="D84">
        <f>D83/D72</f>
        <v>0.6594001236858379</v>
      </c>
      <c r="E84" t="s">
        <v>75</v>
      </c>
    </row>
    <row r="85" spans="4:5" ht="12.75">
      <c r="D85">
        <f>1-EXP(-D84)</f>
        <v>0.48283852562131035</v>
      </c>
      <c r="E85" t="s">
        <v>76</v>
      </c>
    </row>
    <row r="86" spans="4:5" ht="12.75">
      <c r="D86">
        <f>D82*D85</f>
        <v>6757.971481979057</v>
      </c>
      <c r="E86" t="s">
        <v>77</v>
      </c>
    </row>
    <row r="87" spans="4:5" ht="12.75">
      <c r="D87">
        <f>D86*1000</f>
        <v>6757971.481979057</v>
      </c>
      <c r="E87" t="s">
        <v>78</v>
      </c>
    </row>
    <row r="88" spans="4:5" ht="12.75">
      <c r="D88">
        <f>D87/(D64*3600)</f>
        <v>187.7214300549738</v>
      </c>
      <c r="E88" t="s">
        <v>80</v>
      </c>
    </row>
    <row r="89" spans="4:5" ht="12.75">
      <c r="D89">
        <f>D88/2*D72*D72/D65</f>
        <v>371999867.28935456</v>
      </c>
      <c r="E89" t="s">
        <v>81</v>
      </c>
    </row>
    <row r="90" spans="4:5" ht="12.75">
      <c r="D90" s="8">
        <f>D89/1000000</f>
        <v>371.99986728935454</v>
      </c>
      <c r="E90" t="s">
        <v>83</v>
      </c>
    </row>
    <row r="93" ht="12.75">
      <c r="E93" s="3" t="s">
        <v>84</v>
      </c>
    </row>
    <row r="94" spans="4:5" ht="12.75">
      <c r="D94">
        <f>16000+5000+D71</f>
        <v>21016</v>
      </c>
      <c r="E94" t="s">
        <v>68</v>
      </c>
    </row>
    <row r="95" spans="4:5" ht="12.75">
      <c r="D95">
        <v>3100</v>
      </c>
      <c r="E95" t="s">
        <v>74</v>
      </c>
    </row>
    <row r="96" spans="4:5" ht="12.75">
      <c r="D96">
        <f>D95/D84</f>
        <v>4701.242672919109</v>
      </c>
      <c r="E96" t="s">
        <v>75</v>
      </c>
    </row>
    <row r="97" spans="4:5" ht="12.75">
      <c r="D97">
        <f>1-EXP(-D96)</f>
        <v>1</v>
      </c>
      <c r="E97" t="s">
        <v>76</v>
      </c>
    </row>
    <row r="98" spans="4:5" ht="12.75">
      <c r="D98">
        <f>D94*D97</f>
        <v>21016</v>
      </c>
      <c r="E98" t="s">
        <v>77</v>
      </c>
    </row>
    <row r="99" spans="4:5" ht="12.75">
      <c r="D99">
        <f>D98*1000</f>
        <v>21016000</v>
      </c>
      <c r="E99" t="s">
        <v>78</v>
      </c>
    </row>
    <row r="100" spans="4:5" ht="12.75">
      <c r="D100">
        <f>D99/(D76*3600)</f>
        <v>7.279024660570795</v>
      </c>
      <c r="E100" t="s">
        <v>80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2010-06-21T23:47:54Z</dcterms:created>
  <dcterms:modified xsi:type="dcterms:W3CDTF">2010-06-29T19:30:50Z</dcterms:modified>
  <cp:category/>
  <cp:version/>
  <cp:contentType/>
  <cp:contentStatus/>
</cp:coreProperties>
</file>